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780" yWindow="90" windowWidth="12300" windowHeight="11640" activeTab="1"/>
  </bookViews>
  <sheets>
    <sheet name="Imperviousconversion" sheetId="1" r:id="rId1"/>
    <sheet name="Blank Commercial Form 6-2" sheetId="2" r:id="rId2"/>
  </sheets>
  <definedNames>
    <definedName name="Box_A">'Blank Commercial Form 6-2'!$F$7</definedName>
    <definedName name="Box_AAT">'Blank Commercial Form 6-2'!$F$60</definedName>
    <definedName name="Box_AOS">'Blank Commercial Form 6-2'!$F$9</definedName>
    <definedName name="Box_AT">'Blank Commercial Form 6-2'!$F$11</definedName>
    <definedName name="Box_EAM">'Blank Commercial Form 6-2'!$K$58</definedName>
    <definedName name="Box_I">'Blank Commercial Form 6-2'!$F$13</definedName>
    <definedName name="Box_IA">'Blank Commercial Form 6-2'!$F$62</definedName>
    <definedName name="Box_IR">'Blank Commercial Form 6-2'!$F$64</definedName>
    <definedName name="drawdown_hrs">'Blank Commercial Form 6-2'!$I$177</definedName>
    <definedName name="drawdown_time">'Imperviousconversion'!$AI$3:$AI$5</definedName>
    <definedName name="_xlnm.Print_Area" localSheetId="1">'Blank Commercial Form 6-2'!$A$1:$P$190</definedName>
    <definedName name="_xlnm.Print_Area" localSheetId="0">'Imperviousconversion'!$A$1:$G$53</definedName>
  </definedNames>
  <calcPr fullCalcOnLoad="1"/>
</workbook>
</file>

<file path=xl/sharedStrings.xml><?xml version="1.0" encoding="utf-8"?>
<sst xmlns="http://schemas.openxmlformats.org/spreadsheetml/2006/main" count="234" uniqueCount="178">
  <si>
    <t>acres</t>
  </si>
  <si>
    <t>trees</t>
  </si>
  <si>
    <t>Impervious Area Managed</t>
  </si>
  <si>
    <t>x</t>
  </si>
  <si>
    <t>=</t>
  </si>
  <si>
    <t>Efficiency Factor</t>
  </si>
  <si>
    <t>Reinforced Grass Pavement</t>
  </si>
  <si>
    <t>Disconnected Roof Drains</t>
  </si>
  <si>
    <t>A</t>
  </si>
  <si>
    <t>New Evergreen Trees</t>
  </si>
  <si>
    <t>New Deciduous Trees</t>
  </si>
  <si>
    <t>Existing Tree Canopy</t>
  </si>
  <si>
    <t xml:space="preserve">  </t>
  </si>
  <si>
    <t>Porous Pavement Type</t>
  </si>
  <si>
    <t>Step 2 - Calculate Impervious Area Treatments</t>
  </si>
  <si>
    <t>Step 1 - Calculate Area Requiring Treatment</t>
  </si>
  <si>
    <t>Ratio (Box D)</t>
  </si>
  <si>
    <t xml:space="preserve">sq. ft. </t>
  </si>
  <si>
    <t>Total Interceptor Tree EAM Credits</t>
  </si>
  <si>
    <t>See Fact Sheet for more information regarding Interceptor Tree credit guidelines</t>
  </si>
  <si>
    <t>C</t>
  </si>
  <si>
    <t>Minimum travel distance</t>
  </si>
  <si>
    <t>ft</t>
  </si>
  <si>
    <t>Maximum roof size</t>
  </si>
  <si>
    <t>Total Effective Area Managed</t>
  </si>
  <si>
    <t>Assumed Initial Impervious Fraction</t>
  </si>
  <si>
    <t>Ecoroof</t>
  </si>
  <si>
    <t>Runoff Reduction Treatments</t>
  </si>
  <si>
    <t>≤ 3,500 sq ft</t>
  </si>
  <si>
    <t>≤ 5,000 sq ft</t>
  </si>
  <si>
    <t>≤ 7,500 sq ft</t>
  </si>
  <si>
    <t>≤ 10,000 sq ft</t>
  </si>
  <si>
    <t>Ratio is ≤ 0.5</t>
  </si>
  <si>
    <t>Calculate treatment flow (cfs):</t>
  </si>
  <si>
    <t>cfs</t>
  </si>
  <si>
    <t>SV</t>
  </si>
  <si>
    <t>Calculate treatment volume (acre-ft):</t>
  </si>
  <si>
    <t>Roseville</t>
  </si>
  <si>
    <t>Sacramento</t>
  </si>
  <si>
    <t>Folsom</t>
  </si>
  <si>
    <t>Step 3 - Calculate Flow or Volume Requiring Treatment</t>
  </si>
  <si>
    <t>Flow = Runoff Coefficient x Rainfall Intensity x Area</t>
  </si>
  <si>
    <t>Treatment Volume = Area x (Storage Volume ÷ Conversion Factor)</t>
  </si>
  <si>
    <t>Pavement Draining to Porous Pavement</t>
  </si>
  <si>
    <t>See Fact Sheet for more information regarding Disconnected Pavement credit guidelines</t>
  </si>
  <si>
    <t>Interceptor Trees</t>
  </si>
  <si>
    <t>Efficiency Multiplier</t>
  </si>
  <si>
    <t>Box K1</t>
  </si>
  <si>
    <t>Box K2</t>
  </si>
  <si>
    <t>Box K3</t>
  </si>
  <si>
    <t>Box K4</t>
  </si>
  <si>
    <t>Box K5</t>
  </si>
  <si>
    <t>Box K6</t>
  </si>
  <si>
    <t>Box K7</t>
  </si>
  <si>
    <t>Box K8</t>
  </si>
  <si>
    <t>Box L1</t>
  </si>
  <si>
    <t>Box L2</t>
  </si>
  <si>
    <t>Box L3</t>
  </si>
  <si>
    <t>Box L4</t>
  </si>
  <si>
    <t>Box L5</t>
  </si>
  <si>
    <t>Box L6</t>
  </si>
  <si>
    <t>1.  Enter number of new evergreen trees that qualify as Interceptor Trees in Box L1.</t>
  </si>
  <si>
    <t>2.  Multiply Box L1 by 200 and enter result in  Box L2</t>
  </si>
  <si>
    <t>3.  Enter number of new deciduous trees that qualify as Interceptor Trees in Box L3.</t>
  </si>
  <si>
    <t>4.  Multiply Box L3 by 100 and enter result in Box L4</t>
  </si>
  <si>
    <t>5.  Enter square footage of existing tree canopy that qualifies as Existing Tree canopy in Box L5.</t>
  </si>
  <si>
    <t>6.  Multiply Box L5 by 0.5 and enter the result in Box L6</t>
  </si>
  <si>
    <t>Add Boxes L2, L4, and L6 and enter it into Box L7</t>
  </si>
  <si>
    <t>Box L7</t>
  </si>
  <si>
    <t>Box L8</t>
  </si>
  <si>
    <t>Divide Box L7 by 43,560 to get the number of acres effectively managed and enter the result in Box L8</t>
  </si>
  <si>
    <t>see area example below</t>
  </si>
  <si>
    <t>use Form D-2a for credits</t>
  </si>
  <si>
    <t>use Form D-2b for credits</t>
  </si>
  <si>
    <t>I</t>
  </si>
  <si>
    <t>Table D-2a</t>
  </si>
  <si>
    <t>Table D-2b</t>
  </si>
  <si>
    <t>Form D-2a:  Disconnected Pavement Worksheet</t>
  </si>
  <si>
    <t>Form D-2b:  Interceptor Tree Worksheet</t>
  </si>
  <si>
    <r>
      <t>Obtain A</t>
    </r>
    <r>
      <rPr>
        <vertAlign val="subscript"/>
        <sz val="12"/>
        <rFont val="Arial"/>
        <family val="2"/>
      </rPr>
      <t>AT</t>
    </r>
    <r>
      <rPr>
        <sz val="12"/>
        <rFont val="Arial"/>
        <family val="2"/>
      </rPr>
      <t xml:space="preserve"> from Step 2</t>
    </r>
  </si>
  <si>
    <t>Form D-2d  Treatment - Volume-Based (CASQA)</t>
  </si>
  <si>
    <t>Ratio is &gt; 0.5 and &lt; 1.0</t>
  </si>
  <si>
    <t>Ratio is &gt; 1.0 and &lt; 1.5</t>
  </si>
  <si>
    <t>Ratio is &gt; 1.5 and &lt; 2.0</t>
  </si>
  <si>
    <r>
      <t>A</t>
    </r>
    <r>
      <rPr>
        <vertAlign val="subscript"/>
        <sz val="12"/>
        <rFont val="Arial"/>
        <family val="2"/>
      </rPr>
      <t>OS</t>
    </r>
  </si>
  <si>
    <r>
      <t>A</t>
    </r>
    <r>
      <rPr>
        <vertAlign val="subscript"/>
        <sz val="12"/>
        <rFont val="Arial"/>
        <family val="2"/>
      </rPr>
      <t>T</t>
    </r>
  </si>
  <si>
    <r>
      <t>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/ A =</t>
    </r>
  </si>
  <si>
    <r>
      <t>A</t>
    </r>
    <r>
      <rPr>
        <vertAlign val="subscript"/>
        <sz val="12"/>
        <rFont val="Arial"/>
        <family val="2"/>
      </rPr>
      <t>AT</t>
    </r>
    <r>
      <rPr>
        <sz val="12"/>
        <rFont val="Arial"/>
        <family val="2"/>
      </rPr>
      <t xml:space="preserve"> / A =</t>
    </r>
  </si>
  <si>
    <t>Multiplier</t>
  </si>
  <si>
    <t>2.  Enter area draining onto Porous Pavement</t>
  </si>
  <si>
    <t>3.  Enter area of Receiving Porous Pavement</t>
  </si>
  <si>
    <t>Use C = 0.95</t>
  </si>
  <si>
    <r>
      <t>Flow = 0.95 * i * A</t>
    </r>
    <r>
      <rPr>
        <b/>
        <vertAlign val="subscript"/>
        <sz val="12"/>
        <rFont val="Arial"/>
        <family val="2"/>
      </rPr>
      <t>AT</t>
    </r>
  </si>
  <si>
    <r>
      <t>Obtain 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: Maximized Detention Volume from figures E-1 to E-4 in Appendix E of this manual using I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from Step 2.</t>
    </r>
  </si>
  <si>
    <r>
      <t>P</t>
    </r>
    <r>
      <rPr>
        <vertAlign val="subscript"/>
        <sz val="12"/>
        <rFont val="Arial"/>
        <family val="2"/>
      </rPr>
      <t>0</t>
    </r>
  </si>
  <si>
    <r>
      <t>Treatment volume = A</t>
    </r>
    <r>
      <rPr>
        <b/>
        <sz val="12"/>
        <rFont val="Arial"/>
        <family val="2"/>
      </rPr>
      <t xml:space="preserve"> x (P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/ 12)</t>
    </r>
  </si>
  <si>
    <t>(excludes area entered in Step 2 under Porous Pavement)</t>
  </si>
  <si>
    <r>
      <t>A - A</t>
    </r>
    <r>
      <rPr>
        <vertAlign val="subscript"/>
        <sz val="12"/>
        <rFont val="Arial"/>
        <family val="2"/>
      </rPr>
      <t>OS</t>
    </r>
    <r>
      <rPr>
        <sz val="12"/>
        <rFont val="Arial"/>
        <family val="2"/>
      </rPr>
      <t xml:space="preserve">  =</t>
    </r>
  </si>
  <si>
    <t>Open Space Acreage and Landscaped Areas**</t>
  </si>
  <si>
    <t>*. Includes apartments, condominiums, and townhouses</t>
  </si>
  <si>
    <t>**. Includes all areas maintained in a natural state and planned for landscaping</t>
  </si>
  <si>
    <r>
      <t>A</t>
    </r>
    <r>
      <rPr>
        <vertAlign val="subscript"/>
        <sz val="12"/>
        <rFont val="Arial"/>
        <family val="2"/>
      </rPr>
      <t>AT</t>
    </r>
  </si>
  <si>
    <t>i</t>
  </si>
  <si>
    <t>Obtain A from Step 1</t>
  </si>
  <si>
    <r>
      <t>WQV = Area x Maximized Detention Volume (P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</t>
    </r>
  </si>
  <si>
    <t>Form D-2e  Treatment - Volume-Based (ASCE-WEF)</t>
  </si>
  <si>
    <t>Porous Pavement:</t>
  </si>
  <si>
    <t xml:space="preserve">     Option 1: Porous Pavement </t>
  </si>
  <si>
    <t xml:space="preserve">          (see Fact Sheet, excludes porous pavement used in Option 2)</t>
  </si>
  <si>
    <t xml:space="preserve">     Option 2: Disconnected Pavement</t>
  </si>
  <si>
    <t xml:space="preserve">          (see Fact Sheet, excludes  porous pavement used in Option 1)</t>
  </si>
  <si>
    <t>Landscaping used to Disconnect Pavement</t>
  </si>
  <si>
    <t>5. Select multiplier using ratio from Box K3 and enter into Box K4</t>
  </si>
  <si>
    <t>7.  Multiply Box K2 by Box K5 and enter into Box K6</t>
  </si>
  <si>
    <t>8.  Multiply Boxes K1,K4, and K5 and enter the result in Box K7</t>
  </si>
  <si>
    <t>9.  Add Box K6 to Box K7 and enter the Result in Box K8</t>
  </si>
  <si>
    <t>Area with Runoff Reduction Potential</t>
  </si>
  <si>
    <t>Adjusted Area for Flow-Based Treatment</t>
  </si>
  <si>
    <t>Pervious Concrete/Asphalt Pavement</t>
  </si>
  <si>
    <t>Cobblestone Block Pavement</t>
  </si>
  <si>
    <t>Name of Drainage Shed:</t>
  </si>
  <si>
    <t>Drainage Shed Area</t>
  </si>
  <si>
    <r>
      <t>Effective Area Managed (A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>)</t>
    </r>
  </si>
  <si>
    <r>
      <t>A</t>
    </r>
    <r>
      <rPr>
        <vertAlign val="subscript"/>
        <sz val="12"/>
        <rFont val="Arial"/>
        <family val="2"/>
      </rPr>
      <t>C</t>
    </r>
  </si>
  <si>
    <r>
      <t>A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 xml:space="preserve"> - A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=</t>
    </r>
  </si>
  <si>
    <r>
      <t>Effective Area Managed (A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</si>
  <si>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t>This is the amount of area credit to enter into the "Disconnected Pavement" Box of Form D-2</t>
  </si>
  <si>
    <t>This is the amount of area credit to enter into the "Interceptor Trees" Box of Form D-2</t>
  </si>
  <si>
    <t>Look up value for i in Table D-2c (Rainfall Intensity)</t>
  </si>
  <si>
    <r>
      <t>C</t>
    </r>
    <r>
      <rPr>
        <vertAlign val="subscript"/>
        <sz val="12"/>
        <rFont val="Arial"/>
        <family val="2"/>
      </rPr>
      <t>A</t>
    </r>
  </si>
  <si>
    <r>
      <t>Determine Unit Basin Storage Volume (Figure D-2a) using C</t>
    </r>
    <r>
      <rPr>
        <vertAlign val="subscript"/>
        <sz val="12"/>
        <rFont val="Arial"/>
        <family val="2"/>
      </rPr>
      <t>A</t>
    </r>
  </si>
  <si>
    <r>
      <t xml:space="preserve"> A</t>
    </r>
    <r>
      <rPr>
        <sz val="12"/>
        <rFont val="Arial"/>
        <family val="2"/>
      </rPr>
      <t xml:space="preserve"> from Step 1</t>
    </r>
  </si>
  <si>
    <t>Adjusted Runoff Coefficient (CASQA)</t>
  </si>
  <si>
    <r>
      <t>I</t>
    </r>
    <r>
      <rPr>
        <b/>
        <vertAlign val="subscript"/>
        <sz val="14"/>
        <rFont val="Tahoma"/>
        <family val="2"/>
      </rPr>
      <t>A</t>
    </r>
  </si>
  <si>
    <r>
      <t>C</t>
    </r>
    <r>
      <rPr>
        <b/>
        <vertAlign val="subscript"/>
        <sz val="14"/>
        <rFont val="Tahoma"/>
        <family val="2"/>
      </rPr>
      <t>A</t>
    </r>
  </si>
  <si>
    <t xml:space="preserve">          (see Fact Sheet)</t>
  </si>
  <si>
    <t xml:space="preserve">          (see Fact Sheet and/or Table D-2b for summary of requirements)</t>
  </si>
  <si>
    <t>Adjusted Impervious Fraction</t>
  </si>
  <si>
    <t xml:space="preserve"> </t>
  </si>
  <si>
    <t>4.  Ratio of Areas   (Box K1 / Box K2)</t>
  </si>
  <si>
    <t>Form D-2c  Treatment - Flow-Based (Raional Method)</t>
  </si>
  <si>
    <r>
      <t>Determine Adjusted C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using Table D-2d (for CASQA Method) and the Adjusted Impervious Fraction (</t>
    </r>
    <r>
      <rPr>
        <sz val="12"/>
        <rFont val="Tahoma"/>
        <family val="2"/>
      </rPr>
      <t>I</t>
    </r>
    <r>
      <rPr>
        <vertAlign val="subscript"/>
        <sz val="12"/>
        <rFont val="Tahoma"/>
        <family val="2"/>
      </rPr>
      <t>A</t>
    </r>
    <r>
      <rPr>
        <sz val="12"/>
        <rFont val="Arial"/>
        <family val="2"/>
      </rPr>
      <t>) from Step 2</t>
    </r>
  </si>
  <si>
    <t>Calculate treatment volume (Acre-Feet):</t>
  </si>
  <si>
    <t>Acre-Feet</t>
  </si>
  <si>
    <t>Calculate water quality volume (Acre-Feet):</t>
  </si>
  <si>
    <t xml:space="preserve"> Rainfall Intensity</t>
  </si>
  <si>
    <t>Table D-2c</t>
  </si>
  <si>
    <r>
      <t>I</t>
    </r>
    <r>
      <rPr>
        <vertAlign val="subscript"/>
        <sz val="12"/>
        <rFont val="Tahoma"/>
        <family val="2"/>
      </rPr>
      <t>A</t>
    </r>
  </si>
  <si>
    <t>TABLE D-2d</t>
  </si>
  <si>
    <t>Modular Block Pavement &amp;  Porous Gravel Pavement</t>
  </si>
  <si>
    <t>Location of project:</t>
  </si>
  <si>
    <t>i =</t>
  </si>
  <si>
    <t>in/hr</t>
  </si>
  <si>
    <t>For look up table</t>
  </si>
  <si>
    <t>Table for CASQA unit basin storage vs capture runoff at 80%</t>
  </si>
  <si>
    <t>Runoff Coeff</t>
  </si>
  <si>
    <t>Basin Storage Vol (in)</t>
  </si>
  <si>
    <t>assume linear change between the two adjacent points</t>
  </si>
  <si>
    <t>change between the two pts</t>
  </si>
  <si>
    <t>Info for ASCE WEF method to determine P0</t>
  </si>
  <si>
    <t>Drawdown times (hours)</t>
  </si>
  <si>
    <t>percent</t>
  </si>
  <si>
    <t>c</t>
  </si>
  <si>
    <r>
      <t>a</t>
    </r>
    <r>
      <rPr>
        <vertAlign val="subscript"/>
        <sz val="14"/>
        <color indexed="62"/>
        <rFont val="Arial"/>
        <family val="0"/>
      </rPr>
      <t>12</t>
    </r>
  </si>
  <si>
    <r>
      <t>a</t>
    </r>
    <r>
      <rPr>
        <vertAlign val="subscript"/>
        <sz val="14"/>
        <color indexed="62"/>
        <rFont val="Arial"/>
        <family val="0"/>
      </rPr>
      <t>24</t>
    </r>
  </si>
  <si>
    <r>
      <t>a</t>
    </r>
    <r>
      <rPr>
        <vertAlign val="subscript"/>
        <sz val="14"/>
        <color indexed="62"/>
        <rFont val="Arial"/>
        <family val="0"/>
      </rPr>
      <t>48</t>
    </r>
  </si>
  <si>
    <r>
      <t>P</t>
    </r>
    <r>
      <rPr>
        <vertAlign val="subscript"/>
        <sz val="14"/>
        <color indexed="62"/>
        <rFont val="Arial"/>
        <family val="0"/>
      </rPr>
      <t>6</t>
    </r>
  </si>
  <si>
    <r>
      <t>P</t>
    </r>
    <r>
      <rPr>
        <b/>
        <vertAlign val="subscript"/>
        <sz val="14"/>
        <rFont val="Arial"/>
        <family val="2"/>
      </rPr>
      <t>12</t>
    </r>
  </si>
  <si>
    <r>
      <t>P</t>
    </r>
    <r>
      <rPr>
        <b/>
        <vertAlign val="subscript"/>
        <sz val="14"/>
        <rFont val="Arial"/>
        <family val="2"/>
      </rPr>
      <t>24</t>
    </r>
  </si>
  <si>
    <r>
      <t>P</t>
    </r>
    <r>
      <rPr>
        <b/>
        <vertAlign val="subscript"/>
        <sz val="14"/>
        <rFont val="Arial"/>
        <family val="2"/>
      </rPr>
      <t>48</t>
    </r>
  </si>
  <si>
    <t>hrs</t>
  </si>
  <si>
    <t>Specified Draw Down time</t>
  </si>
  <si>
    <t>6.  Enter Efficiency of Porous Pavement  (see table below)</t>
  </si>
  <si>
    <t>Modular Block Pavement     Porous Gravel Pavement</t>
  </si>
  <si>
    <t>Pervious Concrete       Asphalt Pavement</t>
  </si>
  <si>
    <r>
      <t>Treatment volume = A</t>
    </r>
    <r>
      <rPr>
        <b/>
        <sz val="12"/>
        <rFont val="Arial"/>
        <family val="0"/>
      </rPr>
      <t xml:space="preserve"> x (SV / 12)</t>
    </r>
  </si>
  <si>
    <t>Fill in Higlighted boxes</t>
  </si>
  <si>
    <t>Appendix D-2:  Commercial and Multi-Family Sites*: Runoff Reduction Credits and Treatment BMP Sizing Calculations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</si>
</sst>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000000000000%"/>
    <numFmt numFmtId="169" formatCode="0.0000000000000000%"/>
    <numFmt numFmtId="170" formatCode="0.00000000000000000%"/>
    <numFmt numFmtId="171" formatCode="0.00000000000000%"/>
    <numFmt numFmtId="172" formatCode="0.0000000000000%"/>
    <numFmt numFmtId="173" formatCode="0.000000000000%"/>
    <numFmt numFmtId="174" formatCode="0.00000000000%"/>
    <numFmt numFmtId="175" formatCode="0.0000000000%"/>
    <numFmt numFmtId="176" formatCode="0.000000000%"/>
    <numFmt numFmtId="177" formatCode="0.00000000%"/>
    <numFmt numFmtId="178" formatCode="0.0000000%"/>
    <numFmt numFmtId="179" formatCode="0.000000%"/>
    <numFmt numFmtId="180" formatCode="0.00000%"/>
    <numFmt numFmtId="181" formatCode="0.0000%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"/>
    <numFmt numFmtId="187" formatCode="0.00000000"/>
    <numFmt numFmtId="188" formatCode="0.0000000"/>
    <numFmt numFmtId="189" formatCode="0.000000"/>
    <numFmt numFmtId="190" formatCode="[$-409]dddd\,\ mmmm\ dd\,\ yyyy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14"/>
      <color indexed="16"/>
      <name val="Arial"/>
      <family val="2"/>
    </font>
    <font>
      <sz val="11"/>
      <name val="Arial"/>
      <family val="0"/>
    </font>
    <font>
      <sz val="12"/>
      <name val="Tahoma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Tahoma"/>
      <family val="2"/>
    </font>
    <font>
      <i/>
      <sz val="14"/>
      <name val="Arial"/>
      <family val="2"/>
    </font>
    <font>
      <b/>
      <sz val="14"/>
      <name val="Tahoma"/>
      <family val="2"/>
    </font>
    <font>
      <b/>
      <vertAlign val="subscript"/>
      <sz val="14"/>
      <name val="Tahoma"/>
      <family val="2"/>
    </font>
    <font>
      <sz val="14"/>
      <color indexed="62"/>
      <name val="Arial"/>
      <family val="0"/>
    </font>
    <font>
      <vertAlign val="subscript"/>
      <sz val="14"/>
      <color indexed="62"/>
      <name val="Arial"/>
      <family val="0"/>
    </font>
    <font>
      <b/>
      <vertAlign val="subscript"/>
      <sz val="14"/>
      <name val="Arial"/>
      <family val="2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4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2" fontId="0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2" borderId="3" xfId="0" applyNumberForma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0" fontId="0" fillId="3" borderId="0" xfId="0" applyFill="1" applyAlignment="1">
      <alignment horizontal="right"/>
    </xf>
    <xf numFmtId="1" fontId="0" fillId="3" borderId="0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3" borderId="0" xfId="0" applyFont="1" applyFill="1" applyAlignment="1">
      <alignment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 applyProtection="1">
      <alignment/>
      <protection locked="0"/>
    </xf>
    <xf numFmtId="2" fontId="0" fillId="3" borderId="0" xfId="0" applyNumberFormat="1" applyFont="1" applyFill="1" applyBorder="1" applyAlignment="1" applyProtection="1">
      <alignment/>
      <protection locked="0"/>
    </xf>
    <xf numFmtId="165" fontId="0" fillId="3" borderId="0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12" fillId="3" borderId="0" xfId="0" applyFont="1" applyFill="1" applyBorder="1" applyAlignment="1">
      <alignment/>
    </xf>
    <xf numFmtId="0" fontId="13" fillId="3" borderId="0" xfId="0" applyFont="1" applyFill="1" applyAlignment="1">
      <alignment horizontal="left" vertical="top"/>
    </xf>
    <xf numFmtId="0" fontId="6" fillId="3" borderId="0" xfId="0" applyFont="1" applyFill="1" applyAlignment="1">
      <alignment/>
    </xf>
    <xf numFmtId="2" fontId="6" fillId="3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2" fontId="10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18" fillId="3" borderId="0" xfId="0" applyNumberFormat="1" applyFont="1" applyFill="1" applyBorder="1" applyAlignment="1">
      <alignment/>
    </xf>
    <xf numFmtId="2" fontId="10" fillId="3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13" fillId="2" borderId="0" xfId="0" applyFont="1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14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shrinkToFit="1"/>
    </xf>
    <xf numFmtId="165" fontId="10" fillId="3" borderId="5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/>
    </xf>
    <xf numFmtId="0" fontId="14" fillId="3" borderId="0" xfId="0" applyFont="1" applyFill="1" applyAlignment="1">
      <alignment/>
    </xf>
    <xf numFmtId="2" fontId="6" fillId="3" borderId="0" xfId="0" applyNumberFormat="1" applyFont="1" applyFill="1" applyAlignment="1">
      <alignment/>
    </xf>
    <xf numFmtId="2" fontId="18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5" fillId="3" borderId="0" xfId="0" applyFont="1" applyFill="1" applyAlignment="1">
      <alignment horizontal="left" wrapText="1"/>
    </xf>
    <xf numFmtId="0" fontId="13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1" xfId="0" applyFont="1" applyBorder="1" applyAlignment="1">
      <alignment/>
    </xf>
    <xf numFmtId="1" fontId="10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4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6" fillId="3" borderId="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10" fillId="3" borderId="6" xfId="0" applyFont="1" applyFill="1" applyBorder="1" applyAlignment="1">
      <alignment horizontal="left"/>
    </xf>
    <xf numFmtId="0" fontId="10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10" fillId="3" borderId="7" xfId="0" applyFont="1" applyFill="1" applyBorder="1" applyAlignment="1">
      <alignment horizontal="left"/>
    </xf>
    <xf numFmtId="0" fontId="10" fillId="3" borderId="19" xfId="0" applyFont="1" applyFill="1" applyBorder="1" applyAlignment="1">
      <alignment/>
    </xf>
    <xf numFmtId="0" fontId="10" fillId="3" borderId="2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166" fontId="10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166" fontId="10" fillId="0" borderId="21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4" fillId="3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10" fillId="3" borderId="5" xfId="0" applyNumberFormat="1" applyFont="1" applyFill="1" applyBorder="1" applyAlignment="1">
      <alignment/>
    </xf>
    <xf numFmtId="2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10" fillId="3" borderId="22" xfId="0" applyNumberFormat="1" applyFont="1" applyFill="1" applyBorder="1" applyAlignment="1">
      <alignment/>
    </xf>
    <xf numFmtId="2" fontId="10" fillId="3" borderId="0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/>
    </xf>
    <xf numFmtId="2" fontId="10" fillId="3" borderId="1" xfId="0" applyNumberFormat="1" applyFont="1" applyFill="1" applyBorder="1" applyAlignment="1">
      <alignment horizontal="center"/>
    </xf>
    <xf numFmtId="2" fontId="24" fillId="3" borderId="0" xfId="0" applyNumberFormat="1" applyFont="1" applyFill="1" applyBorder="1" applyAlignment="1">
      <alignment/>
    </xf>
    <xf numFmtId="2" fontId="10" fillId="0" borderId="18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/>
    </xf>
    <xf numFmtId="0" fontId="5" fillId="3" borderId="0" xfId="0" applyFont="1" applyFill="1" applyBorder="1" applyAlignment="1">
      <alignment horizontal="right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0" fillId="3" borderId="0" xfId="0" applyFont="1" applyFill="1" applyBorder="1" applyAlignment="1">
      <alignment/>
    </xf>
    <xf numFmtId="0" fontId="2" fillId="3" borderId="1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left" vertical="center"/>
    </xf>
    <xf numFmtId="2" fontId="10" fillId="3" borderId="25" xfId="0" applyNumberFormat="1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 wrapText="1"/>
    </xf>
    <xf numFmtId="2" fontId="10" fillId="3" borderId="25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left" vertical="center"/>
    </xf>
    <xf numFmtId="2" fontId="10" fillId="3" borderId="27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6" fillId="4" borderId="3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>
      <alignment/>
    </xf>
    <xf numFmtId="0" fontId="0" fillId="4" borderId="28" xfId="0" applyFill="1" applyBorder="1" applyAlignment="1">
      <alignment/>
    </xf>
    <xf numFmtId="0" fontId="10" fillId="4" borderId="28" xfId="0" applyFont="1" applyFill="1" applyBorder="1" applyAlignment="1">
      <alignment/>
    </xf>
    <xf numFmtId="0" fontId="10" fillId="4" borderId="29" xfId="0" applyFont="1" applyFill="1" applyBorder="1" applyAlignment="1" applyProtection="1">
      <alignment/>
      <protection locked="0"/>
    </xf>
    <xf numFmtId="0" fontId="0" fillId="4" borderId="30" xfId="0" applyFill="1" applyBorder="1" applyAlignment="1">
      <alignment/>
    </xf>
    <xf numFmtId="0" fontId="2" fillId="0" borderId="0" xfId="0" applyFont="1" applyAlignment="1">
      <alignment horizontal="center"/>
    </xf>
    <xf numFmtId="2" fontId="10" fillId="4" borderId="31" xfId="0" applyNumberFormat="1" applyFont="1" applyFill="1" applyBorder="1" applyAlignment="1">
      <alignment/>
    </xf>
    <xf numFmtId="2" fontId="10" fillId="4" borderId="32" xfId="0" applyNumberFormat="1" applyFont="1" applyFill="1" applyBorder="1" applyAlignment="1">
      <alignment/>
    </xf>
    <xf numFmtId="2" fontId="10" fillId="3" borderId="31" xfId="0" applyNumberFormat="1" applyFont="1" applyFill="1" applyBorder="1" applyAlignment="1">
      <alignment/>
    </xf>
    <xf numFmtId="2" fontId="10" fillId="3" borderId="32" xfId="0" applyNumberFormat="1" applyFont="1" applyFill="1" applyBorder="1" applyAlignment="1">
      <alignment/>
    </xf>
    <xf numFmtId="0" fontId="6" fillId="3" borderId="33" xfId="0" applyFont="1" applyFill="1" applyBorder="1" applyAlignment="1">
      <alignment/>
    </xf>
    <xf numFmtId="0" fontId="0" fillId="3" borderId="3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0" xfId="0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2" fontId="10" fillId="4" borderId="31" xfId="0" applyNumberFormat="1" applyFont="1" applyFill="1" applyBorder="1" applyAlignment="1" applyProtection="1">
      <alignment/>
      <protection locked="0"/>
    </xf>
    <xf numFmtId="0" fontId="0" fillId="4" borderId="35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10" fillId="4" borderId="29" xfId="0" applyFont="1" applyFill="1" applyBorder="1" applyAlignment="1">
      <alignment/>
    </xf>
    <xf numFmtId="2" fontId="10" fillId="3" borderId="31" xfId="0" applyNumberFormat="1" applyFont="1" applyFill="1" applyBorder="1" applyAlignment="1" applyProtection="1">
      <alignment/>
      <protection/>
    </xf>
    <xf numFmtId="2" fontId="10" fillId="3" borderId="32" xfId="0" applyNumberFormat="1" applyFont="1" applyFill="1" applyBorder="1" applyAlignment="1" applyProtection="1">
      <alignment/>
      <protection/>
    </xf>
    <xf numFmtId="2" fontId="10" fillId="3" borderId="31" xfId="0" applyNumberFormat="1" applyFont="1" applyFill="1" applyBorder="1" applyAlignment="1">
      <alignment/>
    </xf>
    <xf numFmtId="2" fontId="10" fillId="0" borderId="3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0" fillId="3" borderId="31" xfId="0" applyNumberFormat="1" applyFont="1" applyFill="1" applyBorder="1" applyAlignment="1">
      <alignment/>
    </xf>
    <xf numFmtId="0" fontId="10" fillId="0" borderId="32" xfId="0" applyFont="1" applyBorder="1" applyAlignment="1">
      <alignment/>
    </xf>
    <xf numFmtId="1" fontId="10" fillId="4" borderId="31" xfId="0" applyNumberFormat="1" applyFont="1" applyFill="1" applyBorder="1" applyAlignment="1" applyProtection="1">
      <alignment horizontal="right" vertical="center"/>
      <protection locked="0"/>
    </xf>
    <xf numFmtId="0" fontId="10" fillId="4" borderId="32" xfId="0" applyFont="1" applyFill="1" applyBorder="1" applyAlignment="1">
      <alignment horizontal="right"/>
    </xf>
    <xf numFmtId="2" fontId="0" fillId="0" borderId="35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6" fillId="3" borderId="0" xfId="0" applyFont="1" applyFill="1" applyAlignment="1">
      <alignment vertical="top" wrapText="1"/>
    </xf>
    <xf numFmtId="0" fontId="0" fillId="3" borderId="32" xfId="0" applyFont="1" applyFill="1" applyBorder="1" applyAlignment="1">
      <alignment/>
    </xf>
    <xf numFmtId="0" fontId="2" fillId="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10" fillId="0" borderId="32" xfId="0" applyNumberFormat="1" applyFont="1" applyBorder="1" applyAlignment="1" applyProtection="1">
      <alignment/>
      <protection/>
    </xf>
    <xf numFmtId="2" fontId="10" fillId="0" borderId="32" xfId="0" applyNumberFormat="1" applyFont="1" applyBorder="1" applyAlignment="1">
      <alignment/>
    </xf>
    <xf numFmtId="1" fontId="10" fillId="4" borderId="31" xfId="0" applyNumberFormat="1" applyFont="1" applyFill="1" applyBorder="1" applyAlignment="1" applyProtection="1">
      <alignment/>
      <protection locked="0"/>
    </xf>
    <xf numFmtId="0" fontId="10" fillId="4" borderId="32" xfId="0" applyFont="1" applyFill="1" applyBorder="1" applyAlignment="1">
      <alignment/>
    </xf>
    <xf numFmtId="0" fontId="6" fillId="3" borderId="0" xfId="0" applyFont="1" applyFill="1" applyBorder="1" applyAlignment="1">
      <alignment vertical="top" wrapText="1"/>
    </xf>
    <xf numFmtId="0" fontId="0" fillId="0" borderId="18" xfId="0" applyBorder="1" applyAlignment="1">
      <alignment wrapText="1"/>
    </xf>
    <xf numFmtId="0" fontId="6" fillId="3" borderId="0" xfId="0" applyFont="1" applyFill="1" applyAlignment="1">
      <alignment wrapText="1"/>
    </xf>
    <xf numFmtId="2" fontId="0" fillId="3" borderId="31" xfId="0" applyNumberFormat="1" applyFont="1" applyFill="1" applyBorder="1" applyAlignment="1" applyProtection="1">
      <alignment wrapText="1"/>
      <protection/>
    </xf>
    <xf numFmtId="2" fontId="0" fillId="3" borderId="32" xfId="0" applyNumberFormat="1" applyFont="1" applyFill="1" applyBorder="1" applyAlignment="1" applyProtection="1">
      <alignment wrapText="1"/>
      <protection/>
    </xf>
    <xf numFmtId="0" fontId="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74</xdr:row>
      <xdr:rowOff>0</xdr:rowOff>
    </xdr:from>
    <xdr:to>
      <xdr:col>21</xdr:col>
      <xdr:colOff>47625</xdr:colOff>
      <xdr:row>74</xdr:row>
      <xdr:rowOff>0</xdr:rowOff>
    </xdr:to>
    <xdr:sp>
      <xdr:nvSpPr>
        <xdr:cNvPr id="1" name="Line 3"/>
        <xdr:cNvSpPr>
          <a:spLocks/>
        </xdr:cNvSpPr>
      </xdr:nvSpPr>
      <xdr:spPr>
        <a:xfrm>
          <a:off x="12725400" y="164973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571500</xdr:colOff>
      <xdr:row>74</xdr:row>
      <xdr:rowOff>0</xdr:rowOff>
    </xdr:from>
    <xdr:to>
      <xdr:col>20</xdr:col>
      <xdr:colOff>514350</xdr:colOff>
      <xdr:row>74</xdr:row>
      <xdr:rowOff>0</xdr:rowOff>
    </xdr:to>
    <xdr:sp>
      <xdr:nvSpPr>
        <xdr:cNvPr id="2" name="Line 4"/>
        <xdr:cNvSpPr>
          <a:spLocks/>
        </xdr:cNvSpPr>
      </xdr:nvSpPr>
      <xdr:spPr>
        <a:xfrm>
          <a:off x="13744575" y="16497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74</xdr:row>
      <xdr:rowOff>0</xdr:rowOff>
    </xdr:from>
    <xdr:to>
      <xdr:col>22</xdr:col>
      <xdr:colOff>190500</xdr:colOff>
      <xdr:row>74</xdr:row>
      <xdr:rowOff>0</xdr:rowOff>
    </xdr:to>
    <xdr:sp>
      <xdr:nvSpPr>
        <xdr:cNvPr id="3" name="Line 5"/>
        <xdr:cNvSpPr>
          <a:spLocks/>
        </xdr:cNvSpPr>
      </xdr:nvSpPr>
      <xdr:spPr>
        <a:xfrm>
          <a:off x="13830300" y="16497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74</xdr:row>
      <xdr:rowOff>0</xdr:rowOff>
    </xdr:from>
    <xdr:to>
      <xdr:col>22</xdr:col>
      <xdr:colOff>114300</xdr:colOff>
      <xdr:row>74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14230350" y="164973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74</xdr:row>
      <xdr:rowOff>0</xdr:rowOff>
    </xdr:from>
    <xdr:to>
      <xdr:col>24</xdr:col>
      <xdr:colOff>85725</xdr:colOff>
      <xdr:row>74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13877925" y="164973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66</xdr:row>
      <xdr:rowOff>0</xdr:rowOff>
    </xdr:from>
    <xdr:to>
      <xdr:col>22</xdr:col>
      <xdr:colOff>323850</xdr:colOff>
      <xdr:row>66</xdr:row>
      <xdr:rowOff>0</xdr:rowOff>
    </xdr:to>
    <xdr:sp>
      <xdr:nvSpPr>
        <xdr:cNvPr id="6" name="Line 13"/>
        <xdr:cNvSpPr>
          <a:spLocks/>
        </xdr:cNvSpPr>
      </xdr:nvSpPr>
      <xdr:spPr>
        <a:xfrm flipV="1">
          <a:off x="13468350" y="139827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54</xdr:row>
      <xdr:rowOff>257175</xdr:rowOff>
    </xdr:from>
    <xdr:to>
      <xdr:col>8</xdr:col>
      <xdr:colOff>752475</xdr:colOff>
      <xdr:row>54</xdr:row>
      <xdr:rowOff>257175</xdr:rowOff>
    </xdr:to>
    <xdr:sp>
      <xdr:nvSpPr>
        <xdr:cNvPr id="7" name="Line 14"/>
        <xdr:cNvSpPr>
          <a:spLocks/>
        </xdr:cNvSpPr>
      </xdr:nvSpPr>
      <xdr:spPr>
        <a:xfrm flipV="1">
          <a:off x="5314950" y="1166812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68</xdr:row>
      <xdr:rowOff>0</xdr:rowOff>
    </xdr:from>
    <xdr:to>
      <xdr:col>19</xdr:col>
      <xdr:colOff>581025</xdr:colOff>
      <xdr:row>68</xdr:row>
      <xdr:rowOff>0</xdr:rowOff>
    </xdr:to>
    <xdr:sp>
      <xdr:nvSpPr>
        <xdr:cNvPr id="8" name="Line 18"/>
        <xdr:cNvSpPr>
          <a:spLocks/>
        </xdr:cNvSpPr>
      </xdr:nvSpPr>
      <xdr:spPr>
        <a:xfrm>
          <a:off x="12839700" y="145446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257175</xdr:rowOff>
    </xdr:from>
    <xdr:to>
      <xdr:col>8</xdr:col>
      <xdr:colOff>733425</xdr:colOff>
      <xdr:row>46</xdr:row>
      <xdr:rowOff>266700</xdr:rowOff>
    </xdr:to>
    <xdr:sp>
      <xdr:nvSpPr>
        <xdr:cNvPr id="9" name="Line 19"/>
        <xdr:cNvSpPr>
          <a:spLocks/>
        </xdr:cNvSpPr>
      </xdr:nvSpPr>
      <xdr:spPr>
        <a:xfrm flipV="1">
          <a:off x="6010275" y="9553575"/>
          <a:ext cx="1733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60</xdr:row>
      <xdr:rowOff>133350</xdr:rowOff>
    </xdr:from>
    <xdr:to>
      <xdr:col>20</xdr:col>
      <xdr:colOff>295275</xdr:colOff>
      <xdr:row>60</xdr:row>
      <xdr:rowOff>133350</xdr:rowOff>
    </xdr:to>
    <xdr:sp>
      <xdr:nvSpPr>
        <xdr:cNvPr id="10" name="Line 20"/>
        <xdr:cNvSpPr>
          <a:spLocks/>
        </xdr:cNvSpPr>
      </xdr:nvSpPr>
      <xdr:spPr>
        <a:xfrm flipV="1">
          <a:off x="13792200" y="129254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66</xdr:row>
      <xdr:rowOff>0</xdr:rowOff>
    </xdr:from>
    <xdr:to>
      <xdr:col>20</xdr:col>
      <xdr:colOff>133350</xdr:colOff>
      <xdr:row>66</xdr:row>
      <xdr:rowOff>0</xdr:rowOff>
    </xdr:to>
    <xdr:sp>
      <xdr:nvSpPr>
        <xdr:cNvPr id="11" name="Line 21"/>
        <xdr:cNvSpPr>
          <a:spLocks/>
        </xdr:cNvSpPr>
      </xdr:nvSpPr>
      <xdr:spPr>
        <a:xfrm flipV="1">
          <a:off x="13239750" y="13982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352425</xdr:colOff>
      <xdr:row>68</xdr:row>
      <xdr:rowOff>0</xdr:rowOff>
    </xdr:from>
    <xdr:to>
      <xdr:col>20</xdr:col>
      <xdr:colOff>361950</xdr:colOff>
      <xdr:row>68</xdr:row>
      <xdr:rowOff>0</xdr:rowOff>
    </xdr:to>
    <xdr:sp>
      <xdr:nvSpPr>
        <xdr:cNvPr id="12" name="Line 22"/>
        <xdr:cNvSpPr>
          <a:spLocks/>
        </xdr:cNvSpPr>
      </xdr:nvSpPr>
      <xdr:spPr>
        <a:xfrm flipV="1">
          <a:off x="13525500" y="14544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114300</xdr:colOff>
      <xdr:row>17</xdr:row>
      <xdr:rowOff>19050</xdr:rowOff>
    </xdr:from>
    <xdr:to>
      <xdr:col>11</xdr:col>
      <xdr:colOff>171450</xdr:colOff>
      <xdr:row>39</xdr:row>
      <xdr:rowOff>38100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3771900"/>
          <a:ext cx="637222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20"/>
  <sheetViews>
    <sheetView zoomScaleSheetLayoutView="25" workbookViewId="0" topLeftCell="L1">
      <selection activeCell="S15" sqref="S15"/>
    </sheetView>
  </sheetViews>
  <sheetFormatPr defaultColWidth="9.140625" defaultRowHeight="33" customHeight="1"/>
  <cols>
    <col min="1" max="1" width="2.140625" style="0" customWidth="1"/>
    <col min="2" max="3" width="20.7109375" style="0" customWidth="1"/>
    <col min="4" max="4" width="5.57421875" style="0" customWidth="1"/>
    <col min="5" max="6" width="20.7109375" style="0" customWidth="1"/>
    <col min="7" max="7" width="5.7109375" style="0" customWidth="1"/>
    <col min="8" max="9" width="20.7109375" style="0" customWidth="1"/>
    <col min="10" max="10" width="5.7109375" style="0" customWidth="1"/>
    <col min="11" max="12" width="20.7109375" style="0" customWidth="1"/>
    <col min="16" max="16" width="9.8515625" style="0" bestFit="1" customWidth="1"/>
    <col min="19" max="19" width="17.8515625" style="0" customWidth="1"/>
    <col min="20" max="20" width="12.7109375" style="0" bestFit="1" customWidth="1"/>
  </cols>
  <sheetData>
    <row r="1" spans="2:12" s="186" customFormat="1" ht="21" customHeight="1">
      <c r="B1" s="250" t="s">
        <v>148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2:35" s="186" customFormat="1" ht="21" customHeight="1">
      <c r="B2" s="250" t="s">
        <v>132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O2" s="186" t="s">
        <v>153</v>
      </c>
      <c r="AC2" s="186" t="s">
        <v>159</v>
      </c>
      <c r="AI2" s="186" t="s">
        <v>160</v>
      </c>
    </row>
    <row r="3" spans="2:35" s="186" customFormat="1" ht="16.5" customHeight="1" thickBot="1">
      <c r="B3" s="201"/>
      <c r="C3" s="201"/>
      <c r="D3" s="201"/>
      <c r="E3" s="201"/>
      <c r="F3" s="201"/>
      <c r="H3" s="201"/>
      <c r="I3" s="201"/>
      <c r="S3" s="186" t="s">
        <v>154</v>
      </c>
      <c r="AD3" s="187"/>
      <c r="AE3" s="188"/>
      <c r="AI3" s="186">
        <v>12</v>
      </c>
    </row>
    <row r="4" spans="2:35" s="186" customFormat="1" ht="21.75" thickBot="1">
      <c r="B4" s="134" t="s">
        <v>133</v>
      </c>
      <c r="C4" s="135" t="s">
        <v>134</v>
      </c>
      <c r="E4" s="134" t="s">
        <v>133</v>
      </c>
      <c r="F4" s="135" t="s">
        <v>134</v>
      </c>
      <c r="H4" s="134" t="s">
        <v>133</v>
      </c>
      <c r="I4" s="135" t="s">
        <v>134</v>
      </c>
      <c r="K4" s="134" t="s">
        <v>133</v>
      </c>
      <c r="L4" s="135" t="s">
        <v>134</v>
      </c>
      <c r="O4" s="134" t="s">
        <v>133</v>
      </c>
      <c r="P4" s="135" t="s">
        <v>134</v>
      </c>
      <c r="S4" s="186" t="s">
        <v>155</v>
      </c>
      <c r="T4" s="186" t="s">
        <v>156</v>
      </c>
      <c r="AD4" s="187" t="s">
        <v>163</v>
      </c>
      <c r="AE4" s="188">
        <f>1.312</f>
        <v>1.312</v>
      </c>
      <c r="AI4" s="186">
        <v>24</v>
      </c>
    </row>
    <row r="5" spans="2:35" s="186" customFormat="1" ht="21.75" thickTop="1">
      <c r="B5" s="189">
        <v>0</v>
      </c>
      <c r="C5" s="190">
        <f aca="true" t="shared" si="0" ref="C5:C34">0.858*B5^3-0.78*B5^2+0.774*B5+0.04</f>
        <v>0.04</v>
      </c>
      <c r="E5" s="189">
        <v>0.3</v>
      </c>
      <c r="F5" s="190">
        <f aca="true" t="shared" si="1" ref="F5:F34">0.858*E5^3-0.78*E5^2+0.774*E5+0.04</f>
        <v>0.225166</v>
      </c>
      <c r="H5" s="189">
        <v>0.6</v>
      </c>
      <c r="I5" s="190">
        <f aca="true" t="shared" si="2" ref="I5:I34">0.858*H5^3-0.78*H5^2+0.774*H5+0.04</f>
        <v>0.40892799999999996</v>
      </c>
      <c r="K5" s="189">
        <v>0.9</v>
      </c>
      <c r="L5" s="190">
        <f aca="true" t="shared" si="3" ref="L5:L15">0.858*K5^3-0.78*K5^2+0.774*K5+0.04</f>
        <v>0.7302820000000001</v>
      </c>
      <c r="O5" s="189">
        <v>0</v>
      </c>
      <c r="P5" s="212">
        <f aca="true" t="shared" si="4" ref="P5:P68">0.858*O5^3-0.78*O5^2+0.774*O5+0.04</f>
        <v>0.04</v>
      </c>
      <c r="S5">
        <v>0</v>
      </c>
      <c r="T5">
        <v>0</v>
      </c>
      <c r="U5">
        <f>0.16/25</f>
        <v>0.0064</v>
      </c>
      <c r="AD5" s="187" t="s">
        <v>164</v>
      </c>
      <c r="AE5" s="188">
        <f>1.582</f>
        <v>1.582</v>
      </c>
      <c r="AI5" s="186">
        <v>48</v>
      </c>
    </row>
    <row r="6" spans="2:31" s="186" customFormat="1" ht="21">
      <c r="B6" s="189">
        <v>0.01</v>
      </c>
      <c r="C6" s="190">
        <f t="shared" si="0"/>
        <v>0.047662858</v>
      </c>
      <c r="E6" s="189">
        <v>0.31</v>
      </c>
      <c r="F6" s="190">
        <f>(0.858*E6^3)-(0.78*E6^2)+(0.774*E6)+0.04</f>
        <v>0.23054267800000003</v>
      </c>
      <c r="H6" s="189">
        <v>0.61</v>
      </c>
      <c r="I6" s="190">
        <f t="shared" si="2"/>
        <v>0.41665169799999996</v>
      </c>
      <c r="K6" s="189">
        <v>0.91</v>
      </c>
      <c r="L6" s="190">
        <f t="shared" si="3"/>
        <v>0.7449859180000001</v>
      </c>
      <c r="O6" s="189">
        <v>0.01</v>
      </c>
      <c r="P6" s="212">
        <f t="shared" si="4"/>
        <v>0.047662858</v>
      </c>
      <c r="S6">
        <v>0.01</v>
      </c>
      <c r="T6">
        <f>T5+$U$5</f>
        <v>0.0064</v>
      </c>
      <c r="U6"/>
      <c r="AD6" s="187" t="s">
        <v>165</v>
      </c>
      <c r="AE6" s="188">
        <v>1.963</v>
      </c>
    </row>
    <row r="7" spans="2:31" s="186" customFormat="1" ht="21">
      <c r="B7" s="189">
        <v>0.02</v>
      </c>
      <c r="C7" s="190">
        <f t="shared" si="0"/>
        <v>0.055174864000000004</v>
      </c>
      <c r="E7" s="189">
        <v>0.32</v>
      </c>
      <c r="F7" s="190">
        <f>(0.858*E7^3)-(0.78*E7^2)+(0.774*E7)+0.04</f>
        <v>0.235922944</v>
      </c>
      <c r="H7" s="189">
        <v>0.62</v>
      </c>
      <c r="I7" s="190">
        <f t="shared" si="2"/>
        <v>0.424533424</v>
      </c>
      <c r="K7" s="189">
        <v>0.92</v>
      </c>
      <c r="L7" s="190">
        <f t="shared" si="3"/>
        <v>0.7600023040000001</v>
      </c>
      <c r="O7" s="189">
        <v>0.02</v>
      </c>
      <c r="P7" s="212">
        <f t="shared" si="4"/>
        <v>0.055174864000000004</v>
      </c>
      <c r="S7">
        <v>0.02</v>
      </c>
      <c r="T7">
        <f aca="true" t="shared" si="5" ref="T7:T29">T6+$U$5</f>
        <v>0.0128</v>
      </c>
      <c r="U7"/>
      <c r="AD7" s="187" t="s">
        <v>166</v>
      </c>
      <c r="AE7" s="188">
        <v>0.55</v>
      </c>
    </row>
    <row r="8" spans="2:21" s="186" customFormat="1" ht="18">
      <c r="B8" s="189">
        <v>0.03</v>
      </c>
      <c r="C8" s="190">
        <f t="shared" si="0"/>
        <v>0.06254116600000001</v>
      </c>
      <c r="E8" s="189">
        <v>0.33</v>
      </c>
      <c r="F8" s="190">
        <f t="shared" si="1"/>
        <v>0.24131194600000003</v>
      </c>
      <c r="H8" s="189">
        <v>0.63</v>
      </c>
      <c r="I8" s="190">
        <f t="shared" si="2"/>
        <v>0.43257832599999996</v>
      </c>
      <c r="K8" s="189">
        <v>0.93</v>
      </c>
      <c r="L8" s="190">
        <f t="shared" si="3"/>
        <v>0.7753363059999999</v>
      </c>
      <c r="O8" s="189">
        <v>0.03</v>
      </c>
      <c r="P8" s="212">
        <f t="shared" si="4"/>
        <v>0.06254116600000001</v>
      </c>
      <c r="S8">
        <v>0.03</v>
      </c>
      <c r="T8">
        <f t="shared" si="5"/>
        <v>0.019200000000000002</v>
      </c>
      <c r="U8"/>
    </row>
    <row r="9" spans="2:21" s="186" customFormat="1" ht="18">
      <c r="B9" s="189">
        <v>0.04</v>
      </c>
      <c r="C9" s="190">
        <f t="shared" si="0"/>
        <v>0.069766912</v>
      </c>
      <c r="E9" s="189">
        <v>0.34</v>
      </c>
      <c r="F9" s="190">
        <f t="shared" si="1"/>
        <v>0.246714832</v>
      </c>
      <c r="H9" s="189">
        <v>0.64</v>
      </c>
      <c r="I9" s="190">
        <f t="shared" si="2"/>
        <v>0.440791552</v>
      </c>
      <c r="K9" s="189">
        <v>0.94</v>
      </c>
      <c r="L9" s="190">
        <f t="shared" si="3"/>
        <v>0.790993072</v>
      </c>
      <c r="O9" s="189">
        <v>0.04</v>
      </c>
      <c r="P9" s="212">
        <f t="shared" si="4"/>
        <v>0.069766912</v>
      </c>
      <c r="S9">
        <v>0.04</v>
      </c>
      <c r="T9">
        <f t="shared" si="5"/>
        <v>0.0256</v>
      </c>
      <c r="U9"/>
    </row>
    <row r="10" spans="2:29" s="186" customFormat="1" ht="18">
      <c r="B10" s="189">
        <v>0.05</v>
      </c>
      <c r="C10" s="190">
        <f t="shared" si="0"/>
        <v>0.07685725000000002</v>
      </c>
      <c r="E10" s="189">
        <v>0.35</v>
      </c>
      <c r="F10" s="190">
        <f t="shared" si="1"/>
        <v>0.25213674999999997</v>
      </c>
      <c r="H10" s="189">
        <v>0.65</v>
      </c>
      <c r="I10" s="190">
        <f t="shared" si="2"/>
        <v>0.44917824999999995</v>
      </c>
      <c r="K10" s="189">
        <v>0.95</v>
      </c>
      <c r="L10" s="190">
        <f t="shared" si="3"/>
        <v>0.8069777499999999</v>
      </c>
      <c r="O10" s="189">
        <v>0.05</v>
      </c>
      <c r="P10" s="212">
        <f t="shared" si="4"/>
        <v>0.07685725000000002</v>
      </c>
      <c r="S10">
        <v>0.05</v>
      </c>
      <c r="T10">
        <f t="shared" si="5"/>
        <v>0.032</v>
      </c>
      <c r="U10"/>
      <c r="AC10" s="186" t="s">
        <v>161</v>
      </c>
    </row>
    <row r="11" spans="2:34" s="186" customFormat="1" ht="21">
      <c r="B11" s="189">
        <v>0.06</v>
      </c>
      <c r="C11" s="190">
        <f t="shared" si="0"/>
        <v>0.083817328</v>
      </c>
      <c r="E11" s="189">
        <v>0.36</v>
      </c>
      <c r="F11" s="190">
        <f t="shared" si="1"/>
        <v>0.257582848</v>
      </c>
      <c r="H11" s="189">
        <v>0.66</v>
      </c>
      <c r="I11" s="190">
        <f t="shared" si="2"/>
        <v>0.457743568</v>
      </c>
      <c r="K11" s="189">
        <v>0.96</v>
      </c>
      <c r="L11" s="190">
        <f t="shared" si="3"/>
        <v>0.823295488</v>
      </c>
      <c r="O11" s="189">
        <v>0.06</v>
      </c>
      <c r="P11" s="212">
        <f t="shared" si="4"/>
        <v>0.083817328</v>
      </c>
      <c r="S11">
        <v>0.06</v>
      </c>
      <c r="T11">
        <f t="shared" si="5"/>
        <v>0.038400000000000004</v>
      </c>
      <c r="U11"/>
      <c r="AC11" s="191" t="s">
        <v>102</v>
      </c>
      <c r="AD11" s="191" t="s">
        <v>102</v>
      </c>
      <c r="AE11" s="191" t="s">
        <v>162</v>
      </c>
      <c r="AF11" s="191" t="s">
        <v>167</v>
      </c>
      <c r="AG11" s="191" t="s">
        <v>168</v>
      </c>
      <c r="AH11" s="191" t="s">
        <v>169</v>
      </c>
    </row>
    <row r="12" spans="2:34" s="186" customFormat="1" ht="18">
      <c r="B12" s="189">
        <v>0.07</v>
      </c>
      <c r="C12" s="190">
        <f t="shared" si="0"/>
        <v>0.09065229400000001</v>
      </c>
      <c r="E12" s="189">
        <v>0.37</v>
      </c>
      <c r="F12" s="190">
        <f t="shared" si="1"/>
        <v>0.263058274</v>
      </c>
      <c r="H12" s="189">
        <v>0.67</v>
      </c>
      <c r="I12" s="190">
        <f t="shared" si="2"/>
        <v>0.466492654</v>
      </c>
      <c r="K12" s="189">
        <v>0.97</v>
      </c>
      <c r="L12" s="190">
        <f t="shared" si="3"/>
        <v>0.839951434</v>
      </c>
      <c r="O12" s="189">
        <v>0.07</v>
      </c>
      <c r="P12" s="212">
        <f t="shared" si="4"/>
        <v>0.09065229400000001</v>
      </c>
      <c r="S12">
        <v>0.07</v>
      </c>
      <c r="T12">
        <f t="shared" si="5"/>
        <v>0.044800000000000006</v>
      </c>
      <c r="U12"/>
      <c r="AC12" s="220">
        <v>1</v>
      </c>
      <c r="AD12" s="192">
        <f aca="true" t="shared" si="6" ref="AD12:AD30">AC12/100</f>
        <v>0.01</v>
      </c>
      <c r="AE12" s="192">
        <f aca="true" t="shared" si="7" ref="AE12:AE30">0.858*AD12^3-0.78*AD12^2+0.774*AD12+0.04</f>
        <v>0.047662858</v>
      </c>
      <c r="AF12" s="192">
        <f aca="true" t="shared" si="8" ref="AF12:AF30">$AE$4*AE12*$AE$7</f>
        <v>0.03439351833280001</v>
      </c>
      <c r="AG12" s="192">
        <f aca="true" t="shared" si="9" ref="AG12:AG30">$AE$5*AE12*$AE$7</f>
        <v>0.04147145274580001</v>
      </c>
      <c r="AH12" s="192">
        <f aca="true" t="shared" si="10" ref="AH12:AH30">$AE$6*AE12*$AE$7</f>
        <v>0.05145920463970001</v>
      </c>
    </row>
    <row r="13" spans="2:34" s="186" customFormat="1" ht="18">
      <c r="B13" s="189">
        <v>0.08</v>
      </c>
      <c r="C13" s="190">
        <f t="shared" si="0"/>
        <v>0.09736729599999999</v>
      </c>
      <c r="E13" s="189">
        <v>0.38</v>
      </c>
      <c r="F13" s="190">
        <f t="shared" si="1"/>
        <v>0.268568176</v>
      </c>
      <c r="H13" s="189">
        <v>0.68</v>
      </c>
      <c r="I13" s="190">
        <f t="shared" si="2"/>
        <v>0.47543065599999995</v>
      </c>
      <c r="K13" s="189">
        <v>0.98</v>
      </c>
      <c r="L13" s="190">
        <f t="shared" si="3"/>
        <v>0.8569507359999999</v>
      </c>
      <c r="O13" s="189">
        <v>0.08</v>
      </c>
      <c r="P13" s="212">
        <f t="shared" si="4"/>
        <v>0.09736729599999999</v>
      </c>
      <c r="S13">
        <v>0.08</v>
      </c>
      <c r="T13">
        <f t="shared" si="5"/>
        <v>0.05120000000000001</v>
      </c>
      <c r="U13"/>
      <c r="AC13" s="220">
        <v>2</v>
      </c>
      <c r="AD13" s="192">
        <f t="shared" si="6"/>
        <v>0.02</v>
      </c>
      <c r="AE13" s="192">
        <f t="shared" si="7"/>
        <v>0.055174864000000004</v>
      </c>
      <c r="AF13" s="192">
        <f t="shared" si="8"/>
        <v>0.0398141818624</v>
      </c>
      <c r="AG13" s="192">
        <f t="shared" si="9"/>
        <v>0.048007649166400004</v>
      </c>
      <c r="AH13" s="192">
        <f t="shared" si="10"/>
        <v>0.059569541917600013</v>
      </c>
    </row>
    <row r="14" spans="2:34" s="186" customFormat="1" ht="18">
      <c r="B14" s="193">
        <v>0.09</v>
      </c>
      <c r="C14" s="194">
        <f t="shared" si="0"/>
        <v>0.103967482</v>
      </c>
      <c r="E14" s="193">
        <v>0.39</v>
      </c>
      <c r="F14" s="194">
        <f t="shared" si="1"/>
        <v>0.274117702</v>
      </c>
      <c r="H14" s="193">
        <v>0.69</v>
      </c>
      <c r="I14" s="194">
        <f t="shared" si="2"/>
        <v>0.48456272199999995</v>
      </c>
      <c r="K14" s="189">
        <v>0.99</v>
      </c>
      <c r="L14" s="190">
        <f t="shared" si="3"/>
        <v>0.874298542</v>
      </c>
      <c r="O14" s="193">
        <v>0.09</v>
      </c>
      <c r="P14" s="213">
        <f t="shared" si="4"/>
        <v>0.103967482</v>
      </c>
      <c r="S14">
        <v>0.09</v>
      </c>
      <c r="T14">
        <f t="shared" si="5"/>
        <v>0.05760000000000001</v>
      </c>
      <c r="U14"/>
      <c r="AC14" s="220">
        <v>3</v>
      </c>
      <c r="AD14" s="192">
        <f t="shared" si="6"/>
        <v>0.03</v>
      </c>
      <c r="AE14" s="192">
        <f t="shared" si="7"/>
        <v>0.06254116600000001</v>
      </c>
      <c r="AF14" s="192">
        <f t="shared" si="8"/>
        <v>0.045129705385600016</v>
      </c>
      <c r="AG14" s="192">
        <f t="shared" si="9"/>
        <v>0.05441706853660002</v>
      </c>
      <c r="AH14" s="192">
        <f t="shared" si="10"/>
        <v>0.06752256987190002</v>
      </c>
    </row>
    <row r="15" spans="2:34" s="186" customFormat="1" ht="18.75" thickBot="1">
      <c r="B15" s="189">
        <v>0.1</v>
      </c>
      <c r="C15" s="190">
        <f t="shared" si="0"/>
        <v>0.110458</v>
      </c>
      <c r="E15" s="189">
        <v>0.4</v>
      </c>
      <c r="F15" s="190">
        <f t="shared" si="1"/>
        <v>0.279712</v>
      </c>
      <c r="H15" s="189">
        <v>0.7</v>
      </c>
      <c r="I15" s="190">
        <f t="shared" si="2"/>
        <v>0.4938939999999999</v>
      </c>
      <c r="K15" s="195">
        <v>1</v>
      </c>
      <c r="L15" s="196">
        <f t="shared" si="3"/>
        <v>0.892</v>
      </c>
      <c r="O15" s="189">
        <v>0.1</v>
      </c>
      <c r="P15" s="212">
        <f t="shared" si="4"/>
        <v>0.110458</v>
      </c>
      <c r="S15">
        <v>0.1</v>
      </c>
      <c r="T15">
        <f t="shared" si="5"/>
        <v>0.06400000000000002</v>
      </c>
      <c r="U15"/>
      <c r="AC15" s="220">
        <v>4</v>
      </c>
      <c r="AD15" s="192">
        <f t="shared" si="6"/>
        <v>0.04</v>
      </c>
      <c r="AE15" s="192">
        <f t="shared" si="7"/>
        <v>0.069766912</v>
      </c>
      <c r="AF15" s="192">
        <f t="shared" si="8"/>
        <v>0.0503438036992</v>
      </c>
      <c r="AG15" s="192">
        <f t="shared" si="9"/>
        <v>0.06070419013120001</v>
      </c>
      <c r="AH15" s="192">
        <f t="shared" si="10"/>
        <v>0.0753238465408</v>
      </c>
    </row>
    <row r="16" spans="2:34" s="186" customFormat="1" ht="18">
      <c r="B16" s="189">
        <v>0.11</v>
      </c>
      <c r="C16" s="190">
        <f t="shared" si="0"/>
        <v>0.116843998</v>
      </c>
      <c r="E16" s="189">
        <v>0.41</v>
      </c>
      <c r="F16" s="190">
        <f t="shared" si="1"/>
        <v>0.285356218</v>
      </c>
      <c r="H16" s="189">
        <v>0.71</v>
      </c>
      <c r="I16" s="190">
        <f t="shared" si="2"/>
        <v>0.5034296380000001</v>
      </c>
      <c r="O16" s="189">
        <v>0.11</v>
      </c>
      <c r="P16" s="212">
        <f t="shared" si="4"/>
        <v>0.116843998</v>
      </c>
      <c r="S16">
        <v>0.11</v>
      </c>
      <c r="T16">
        <f t="shared" si="5"/>
        <v>0.07040000000000002</v>
      </c>
      <c r="U16"/>
      <c r="AC16" s="220">
        <v>5</v>
      </c>
      <c r="AD16" s="192">
        <f t="shared" si="6"/>
        <v>0.05</v>
      </c>
      <c r="AE16" s="192">
        <f t="shared" si="7"/>
        <v>0.07685725000000002</v>
      </c>
      <c r="AF16" s="192">
        <f t="shared" si="8"/>
        <v>0.055460191600000014</v>
      </c>
      <c r="AG16" s="192">
        <f t="shared" si="9"/>
        <v>0.06687349322500002</v>
      </c>
      <c r="AH16" s="192">
        <f t="shared" si="10"/>
        <v>0.08297892996250003</v>
      </c>
    </row>
    <row r="17" spans="2:34" s="186" customFormat="1" ht="18">
      <c r="B17" s="189">
        <v>0.12</v>
      </c>
      <c r="C17" s="190">
        <f t="shared" si="0"/>
        <v>0.123130624</v>
      </c>
      <c r="E17" s="189">
        <v>0.42</v>
      </c>
      <c r="F17" s="190">
        <f t="shared" si="1"/>
        <v>0.29105550399999996</v>
      </c>
      <c r="H17" s="189">
        <v>0.72</v>
      </c>
      <c r="I17" s="190">
        <f t="shared" si="2"/>
        <v>0.5131747839999999</v>
      </c>
      <c r="O17" s="189">
        <v>0.12</v>
      </c>
      <c r="P17" s="212">
        <f t="shared" si="4"/>
        <v>0.123130624</v>
      </c>
      <c r="S17">
        <v>0.12</v>
      </c>
      <c r="T17">
        <f>T16+$U$5</f>
        <v>0.07680000000000002</v>
      </c>
      <c r="U17"/>
      <c r="AC17" s="220">
        <v>6</v>
      </c>
      <c r="AD17" s="192">
        <f t="shared" si="6"/>
        <v>0.06</v>
      </c>
      <c r="AE17" s="192">
        <f t="shared" si="7"/>
        <v>0.083817328</v>
      </c>
      <c r="AF17" s="192">
        <f t="shared" si="8"/>
        <v>0.06048258388480001</v>
      </c>
      <c r="AG17" s="192">
        <f t="shared" si="9"/>
        <v>0.0729294570928</v>
      </c>
      <c r="AH17" s="192">
        <f t="shared" si="10"/>
        <v>0.0904933781752</v>
      </c>
    </row>
    <row r="18" spans="2:34" s="186" customFormat="1" ht="18">
      <c r="B18" s="189">
        <v>0.13</v>
      </c>
      <c r="C18" s="190">
        <f t="shared" si="0"/>
        <v>0.129323026</v>
      </c>
      <c r="E18" s="189">
        <v>0.43</v>
      </c>
      <c r="F18" s="190">
        <f t="shared" si="1"/>
        <v>0.296815006</v>
      </c>
      <c r="H18" s="189">
        <v>0.73</v>
      </c>
      <c r="I18" s="190">
        <f t="shared" si="2"/>
        <v>0.523134586</v>
      </c>
      <c r="O18" s="189">
        <v>0.13</v>
      </c>
      <c r="P18" s="212">
        <f t="shared" si="4"/>
        <v>0.129323026</v>
      </c>
      <c r="S18">
        <v>0.13</v>
      </c>
      <c r="T18">
        <f t="shared" si="5"/>
        <v>0.08320000000000002</v>
      </c>
      <c r="U18"/>
      <c r="AC18" s="220">
        <v>7</v>
      </c>
      <c r="AD18" s="192">
        <f t="shared" si="6"/>
        <v>0.07</v>
      </c>
      <c r="AE18" s="192">
        <f t="shared" si="7"/>
        <v>0.09065229400000001</v>
      </c>
      <c r="AF18" s="192">
        <f t="shared" si="8"/>
        <v>0.06541469535040001</v>
      </c>
      <c r="AG18" s="192">
        <f t="shared" si="9"/>
        <v>0.07887656100940002</v>
      </c>
      <c r="AH18" s="192">
        <f t="shared" si="10"/>
        <v>0.09787274921710003</v>
      </c>
    </row>
    <row r="19" spans="2:34" s="186" customFormat="1" ht="18">
      <c r="B19" s="189">
        <v>0.14</v>
      </c>
      <c r="C19" s="190">
        <f t="shared" si="0"/>
        <v>0.135426352</v>
      </c>
      <c r="E19" s="189">
        <v>0.44</v>
      </c>
      <c r="F19" s="190">
        <f t="shared" si="1"/>
        <v>0.30263987200000003</v>
      </c>
      <c r="H19" s="189">
        <v>0.74</v>
      </c>
      <c r="I19" s="190">
        <f t="shared" si="2"/>
        <v>0.533314192</v>
      </c>
      <c r="O19" s="189">
        <v>0.14</v>
      </c>
      <c r="P19" s="212">
        <f t="shared" si="4"/>
        <v>0.135426352</v>
      </c>
      <c r="S19">
        <v>0.14</v>
      </c>
      <c r="T19">
        <f t="shared" si="5"/>
        <v>0.08960000000000003</v>
      </c>
      <c r="U19"/>
      <c r="AC19" s="220">
        <v>8</v>
      </c>
      <c r="AD19" s="192">
        <f t="shared" si="6"/>
        <v>0.08</v>
      </c>
      <c r="AE19" s="192">
        <f t="shared" si="7"/>
        <v>0.09736729599999999</v>
      </c>
      <c r="AF19" s="192">
        <f t="shared" si="8"/>
        <v>0.07026024079359999</v>
      </c>
      <c r="AG19" s="192">
        <f t="shared" si="9"/>
        <v>0.08471928424960001</v>
      </c>
      <c r="AH19" s="192">
        <f t="shared" si="10"/>
        <v>0.1051226011264</v>
      </c>
    </row>
    <row r="20" spans="2:34" s="186" customFormat="1" ht="18">
      <c r="B20" s="189">
        <v>0.15</v>
      </c>
      <c r="C20" s="190">
        <f t="shared" si="0"/>
        <v>0.14144575</v>
      </c>
      <c r="E20" s="189">
        <v>0.45</v>
      </c>
      <c r="F20" s="190">
        <f t="shared" si="1"/>
        <v>0.30853525</v>
      </c>
      <c r="H20" s="189">
        <v>0.75</v>
      </c>
      <c r="I20" s="190">
        <f t="shared" si="2"/>
        <v>0.54371875</v>
      </c>
      <c r="O20" s="189">
        <v>0.15</v>
      </c>
      <c r="P20" s="212">
        <f t="shared" si="4"/>
        <v>0.14144575</v>
      </c>
      <c r="S20">
        <v>0.15</v>
      </c>
      <c r="T20">
        <f t="shared" si="5"/>
        <v>0.09600000000000003</v>
      </c>
      <c r="U20"/>
      <c r="AC20" s="220">
        <v>9</v>
      </c>
      <c r="AD20" s="192">
        <f t="shared" si="6"/>
        <v>0.09</v>
      </c>
      <c r="AE20" s="192">
        <f t="shared" si="7"/>
        <v>0.103967482</v>
      </c>
      <c r="AF20" s="192">
        <f t="shared" si="8"/>
        <v>0.07502293501120001</v>
      </c>
      <c r="AG20" s="192">
        <f t="shared" si="9"/>
        <v>0.09046210608820002</v>
      </c>
      <c r="AH20" s="192">
        <f t="shared" si="10"/>
        <v>0.11224849194130002</v>
      </c>
    </row>
    <row r="21" spans="2:34" s="186" customFormat="1" ht="18">
      <c r="B21" s="189">
        <v>0.16</v>
      </c>
      <c r="C21" s="190">
        <f t="shared" si="0"/>
        <v>0.14738636800000002</v>
      </c>
      <c r="E21" s="189">
        <v>0.46</v>
      </c>
      <c r="F21" s="190">
        <f t="shared" si="1"/>
        <v>0.314506288</v>
      </c>
      <c r="H21" s="189">
        <v>0.76</v>
      </c>
      <c r="I21" s="190">
        <f t="shared" si="2"/>
        <v>0.554353408</v>
      </c>
      <c r="O21" s="189">
        <v>0.16</v>
      </c>
      <c r="P21" s="212">
        <f t="shared" si="4"/>
        <v>0.14738636800000002</v>
      </c>
      <c r="S21">
        <v>0.16</v>
      </c>
      <c r="T21">
        <f t="shared" si="5"/>
        <v>0.10240000000000003</v>
      </c>
      <c r="U21"/>
      <c r="AC21" s="220">
        <v>10</v>
      </c>
      <c r="AD21" s="192">
        <f t="shared" si="6"/>
        <v>0.1</v>
      </c>
      <c r="AE21" s="192">
        <f t="shared" si="7"/>
        <v>0.110458</v>
      </c>
      <c r="AF21" s="192">
        <f t="shared" si="8"/>
        <v>0.0797064928</v>
      </c>
      <c r="AG21" s="192">
        <f t="shared" si="9"/>
        <v>0.09610950580000001</v>
      </c>
      <c r="AH21" s="192">
        <f t="shared" si="10"/>
        <v>0.11925597970000001</v>
      </c>
    </row>
    <row r="22" spans="2:34" s="186" customFormat="1" ht="18">
      <c r="B22" s="189">
        <v>0.17</v>
      </c>
      <c r="C22" s="190">
        <f t="shared" si="0"/>
        <v>0.153253354</v>
      </c>
      <c r="E22" s="189">
        <v>0.47</v>
      </c>
      <c r="F22" s="190">
        <f t="shared" si="1"/>
        <v>0.320558134</v>
      </c>
      <c r="H22" s="189">
        <v>0.77</v>
      </c>
      <c r="I22" s="190">
        <f t="shared" si="2"/>
        <v>0.5652233140000001</v>
      </c>
      <c r="O22" s="189">
        <v>0.17</v>
      </c>
      <c r="P22" s="212">
        <f t="shared" si="4"/>
        <v>0.153253354</v>
      </c>
      <c r="S22">
        <v>0.17</v>
      </c>
      <c r="T22">
        <f t="shared" si="5"/>
        <v>0.10880000000000004</v>
      </c>
      <c r="U22"/>
      <c r="AC22" s="220">
        <v>11</v>
      </c>
      <c r="AD22" s="192">
        <f t="shared" si="6"/>
        <v>0.11</v>
      </c>
      <c r="AE22" s="192">
        <f t="shared" si="7"/>
        <v>0.116843998</v>
      </c>
      <c r="AF22" s="192">
        <f t="shared" si="8"/>
        <v>0.08431462895680002</v>
      </c>
      <c r="AG22" s="192">
        <f t="shared" si="9"/>
        <v>0.1016659626598</v>
      </c>
      <c r="AH22" s="192">
        <f t="shared" si="10"/>
        <v>0.12615062244070002</v>
      </c>
    </row>
    <row r="23" spans="2:34" s="186" customFormat="1" ht="18">
      <c r="B23" s="189">
        <v>0.18</v>
      </c>
      <c r="C23" s="190">
        <f t="shared" si="0"/>
        <v>0.159051856</v>
      </c>
      <c r="E23" s="189">
        <v>0.48</v>
      </c>
      <c r="F23" s="190">
        <f t="shared" si="1"/>
        <v>0.32669593599999996</v>
      </c>
      <c r="H23" s="189">
        <v>0.78</v>
      </c>
      <c r="I23" s="190">
        <f t="shared" si="2"/>
        <v>0.5763336160000001</v>
      </c>
      <c r="O23" s="189">
        <v>0.18</v>
      </c>
      <c r="P23" s="212">
        <f t="shared" si="4"/>
        <v>0.159051856</v>
      </c>
      <c r="S23">
        <v>0.18</v>
      </c>
      <c r="T23">
        <f t="shared" si="5"/>
        <v>0.11520000000000004</v>
      </c>
      <c r="U23"/>
      <c r="AC23" s="220">
        <v>12</v>
      </c>
      <c r="AD23" s="192">
        <f t="shared" si="6"/>
        <v>0.12</v>
      </c>
      <c r="AE23" s="192">
        <f t="shared" si="7"/>
        <v>0.123130624</v>
      </c>
      <c r="AF23" s="192">
        <f t="shared" si="8"/>
        <v>0.08885105827840001</v>
      </c>
      <c r="AG23" s="192">
        <f t="shared" si="9"/>
        <v>0.1071359559424</v>
      </c>
      <c r="AH23" s="192">
        <f t="shared" si="10"/>
        <v>0.13293797820160003</v>
      </c>
    </row>
    <row r="24" spans="2:34" s="186" customFormat="1" ht="18">
      <c r="B24" s="193">
        <v>0.19</v>
      </c>
      <c r="C24" s="194">
        <f t="shared" si="0"/>
        <v>0.164787022</v>
      </c>
      <c r="E24" s="193">
        <v>0.49</v>
      </c>
      <c r="F24" s="194">
        <f t="shared" si="1"/>
        <v>0.33292484199999994</v>
      </c>
      <c r="H24" s="193">
        <v>0.79</v>
      </c>
      <c r="I24" s="194">
        <f t="shared" si="2"/>
        <v>0.5876894619999999</v>
      </c>
      <c r="O24" s="193">
        <v>0.19</v>
      </c>
      <c r="P24" s="213">
        <f t="shared" si="4"/>
        <v>0.164787022</v>
      </c>
      <c r="S24">
        <v>0.19</v>
      </c>
      <c r="T24">
        <f>T23+$U$5</f>
        <v>0.12160000000000004</v>
      </c>
      <c r="U24"/>
      <c r="AC24" s="220">
        <v>13</v>
      </c>
      <c r="AD24" s="192">
        <f t="shared" si="6"/>
        <v>0.13</v>
      </c>
      <c r="AE24" s="192">
        <f t="shared" si="7"/>
        <v>0.129323026</v>
      </c>
      <c r="AF24" s="192">
        <f t="shared" si="8"/>
        <v>0.09331949556160002</v>
      </c>
      <c r="AG24" s="192">
        <f t="shared" si="9"/>
        <v>0.11252396492260003</v>
      </c>
      <c r="AH24" s="192">
        <f t="shared" si="10"/>
        <v>0.13962360502090002</v>
      </c>
    </row>
    <row r="25" spans="2:34" s="186" customFormat="1" ht="18">
      <c r="B25" s="189">
        <v>0.2</v>
      </c>
      <c r="C25" s="190">
        <f t="shared" si="0"/>
        <v>0.17046400000000003</v>
      </c>
      <c r="E25" s="189">
        <v>0.5</v>
      </c>
      <c r="F25" s="190">
        <f t="shared" si="1"/>
        <v>0.33925</v>
      </c>
      <c r="H25" s="189">
        <v>0.8</v>
      </c>
      <c r="I25" s="190">
        <f t="shared" si="2"/>
        <v>0.599296</v>
      </c>
      <c r="O25" s="189">
        <v>0.2</v>
      </c>
      <c r="P25" s="212">
        <f t="shared" si="4"/>
        <v>0.17046400000000003</v>
      </c>
      <c r="S25">
        <v>0.2</v>
      </c>
      <c r="T25">
        <f t="shared" si="5"/>
        <v>0.12800000000000003</v>
      </c>
      <c r="U25"/>
      <c r="AC25" s="220">
        <v>14</v>
      </c>
      <c r="AD25" s="192">
        <f t="shared" si="6"/>
        <v>0.14</v>
      </c>
      <c r="AE25" s="192">
        <f t="shared" si="7"/>
        <v>0.135426352</v>
      </c>
      <c r="AF25" s="192">
        <f t="shared" si="8"/>
        <v>0.09772365560320001</v>
      </c>
      <c r="AG25" s="192">
        <f t="shared" si="9"/>
        <v>0.11783446887520002</v>
      </c>
      <c r="AH25" s="192">
        <f t="shared" si="10"/>
        <v>0.1462130609368</v>
      </c>
    </row>
    <row r="26" spans="2:34" s="186" customFormat="1" ht="18">
      <c r="B26" s="189">
        <v>0.21</v>
      </c>
      <c r="C26" s="190">
        <f t="shared" si="0"/>
        <v>0.176087938</v>
      </c>
      <c r="E26" s="189">
        <v>0.51</v>
      </c>
      <c r="F26" s="190">
        <f t="shared" si="1"/>
        <v>0.345676558</v>
      </c>
      <c r="H26" s="189">
        <v>0.81</v>
      </c>
      <c r="I26" s="190">
        <f t="shared" si="2"/>
        <v>0.6111583780000001</v>
      </c>
      <c r="O26" s="189">
        <v>0.21</v>
      </c>
      <c r="P26" s="212">
        <f t="shared" si="4"/>
        <v>0.176087938</v>
      </c>
      <c r="S26">
        <v>0.21</v>
      </c>
      <c r="T26">
        <f t="shared" si="5"/>
        <v>0.13440000000000002</v>
      </c>
      <c r="U26"/>
      <c r="AC26" s="220">
        <v>15</v>
      </c>
      <c r="AD26" s="192">
        <f t="shared" si="6"/>
        <v>0.15</v>
      </c>
      <c r="AE26" s="192">
        <f t="shared" si="7"/>
        <v>0.14144575</v>
      </c>
      <c r="AF26" s="192">
        <f t="shared" si="8"/>
        <v>0.10206725320000003</v>
      </c>
      <c r="AG26" s="192">
        <f t="shared" si="9"/>
        <v>0.12307194707500002</v>
      </c>
      <c r="AH26" s="192">
        <f t="shared" si="10"/>
        <v>0.1527119039875</v>
      </c>
    </row>
    <row r="27" spans="2:34" s="186" customFormat="1" ht="18">
      <c r="B27" s="189">
        <v>0.22</v>
      </c>
      <c r="C27" s="190">
        <f t="shared" si="0"/>
        <v>0.18166398400000003</v>
      </c>
      <c r="E27" s="189">
        <v>0.52</v>
      </c>
      <c r="F27" s="190">
        <f t="shared" si="1"/>
        <v>0.352209664</v>
      </c>
      <c r="H27" s="189">
        <v>0.82</v>
      </c>
      <c r="I27" s="190">
        <f t="shared" si="2"/>
        <v>0.623281744</v>
      </c>
      <c r="O27" s="189">
        <v>0.22</v>
      </c>
      <c r="P27" s="212">
        <f t="shared" si="4"/>
        <v>0.18166398400000003</v>
      </c>
      <c r="S27">
        <v>0.22</v>
      </c>
      <c r="T27">
        <f t="shared" si="5"/>
        <v>0.1408</v>
      </c>
      <c r="U27"/>
      <c r="AC27" s="220">
        <v>16</v>
      </c>
      <c r="AD27" s="192">
        <f t="shared" si="6"/>
        <v>0.16</v>
      </c>
      <c r="AE27" s="192">
        <f t="shared" si="7"/>
        <v>0.14738636800000002</v>
      </c>
      <c r="AF27" s="192">
        <f t="shared" si="8"/>
        <v>0.10635400314880002</v>
      </c>
      <c r="AG27" s="192">
        <f t="shared" si="9"/>
        <v>0.12824087879680005</v>
      </c>
      <c r="AH27" s="192">
        <f t="shared" si="10"/>
        <v>0.15912569221120004</v>
      </c>
    </row>
    <row r="28" spans="2:34" s="186" customFormat="1" ht="18">
      <c r="B28" s="189">
        <v>0.23</v>
      </c>
      <c r="C28" s="190">
        <f t="shared" si="0"/>
        <v>0.18719728600000002</v>
      </c>
      <c r="E28" s="189">
        <v>0.53</v>
      </c>
      <c r="F28" s="190">
        <f t="shared" si="1"/>
        <v>0.358854466</v>
      </c>
      <c r="H28" s="189">
        <v>0.83</v>
      </c>
      <c r="I28" s="190">
        <f t="shared" si="2"/>
        <v>0.635671246</v>
      </c>
      <c r="O28" s="189">
        <v>0.23</v>
      </c>
      <c r="P28" s="212">
        <f t="shared" si="4"/>
        <v>0.18719728600000002</v>
      </c>
      <c r="S28">
        <v>0.23</v>
      </c>
      <c r="T28">
        <f t="shared" si="5"/>
        <v>0.1472</v>
      </c>
      <c r="U28"/>
      <c r="AC28" s="220">
        <v>17</v>
      </c>
      <c r="AD28" s="192">
        <f t="shared" si="6"/>
        <v>0.17</v>
      </c>
      <c r="AE28" s="192">
        <f t="shared" si="7"/>
        <v>0.153253354</v>
      </c>
      <c r="AF28" s="192">
        <f t="shared" si="8"/>
        <v>0.11058762024640001</v>
      </c>
      <c r="AG28" s="192">
        <f t="shared" si="9"/>
        <v>0.13334574331540003</v>
      </c>
      <c r="AH28" s="192">
        <f t="shared" si="10"/>
        <v>0.16545998364610004</v>
      </c>
    </row>
    <row r="29" spans="2:34" s="186" customFormat="1" ht="18">
      <c r="B29" s="189">
        <v>0.24</v>
      </c>
      <c r="C29" s="190">
        <f t="shared" si="0"/>
        <v>0.192692992</v>
      </c>
      <c r="E29" s="189">
        <v>0.54</v>
      </c>
      <c r="F29" s="190">
        <f t="shared" si="1"/>
        <v>0.36561611200000005</v>
      </c>
      <c r="H29" s="189">
        <v>0.84</v>
      </c>
      <c r="I29" s="190">
        <f t="shared" si="2"/>
        <v>0.6483320319999999</v>
      </c>
      <c r="O29" s="189">
        <v>0.24</v>
      </c>
      <c r="P29" s="212">
        <f t="shared" si="4"/>
        <v>0.192692992</v>
      </c>
      <c r="S29">
        <v>0.24</v>
      </c>
      <c r="T29">
        <f t="shared" si="5"/>
        <v>0.1536</v>
      </c>
      <c r="U29"/>
      <c r="AC29" s="220">
        <v>18</v>
      </c>
      <c r="AD29" s="192">
        <f t="shared" si="6"/>
        <v>0.18</v>
      </c>
      <c r="AE29" s="192">
        <f t="shared" si="7"/>
        <v>0.159051856</v>
      </c>
      <c r="AF29" s="192">
        <f t="shared" si="8"/>
        <v>0.11477181928960001</v>
      </c>
      <c r="AG29" s="192">
        <f t="shared" si="9"/>
        <v>0.13839101990560002</v>
      </c>
      <c r="AH29" s="192">
        <f t="shared" si="10"/>
        <v>0.17172033633040001</v>
      </c>
    </row>
    <row r="30" spans="2:34" s="186" customFormat="1" ht="18">
      <c r="B30" s="189">
        <v>0.25</v>
      </c>
      <c r="C30" s="190">
        <f t="shared" si="0"/>
        <v>0.19815625</v>
      </c>
      <c r="E30" s="189">
        <v>0.55</v>
      </c>
      <c r="F30" s="190">
        <f t="shared" si="1"/>
        <v>0.37249974999999996</v>
      </c>
      <c r="H30" s="189">
        <v>0.85</v>
      </c>
      <c r="I30" s="190">
        <f t="shared" si="2"/>
        <v>0.66126925</v>
      </c>
      <c r="O30" s="189">
        <v>0.25</v>
      </c>
      <c r="P30" s="212">
        <f t="shared" si="4"/>
        <v>0.19815625</v>
      </c>
      <c r="S30" s="186">
        <v>0.25</v>
      </c>
      <c r="T30" s="192">
        <v>0.16</v>
      </c>
      <c r="U30" s="186" t="s">
        <v>157</v>
      </c>
      <c r="AC30" s="220">
        <v>19</v>
      </c>
      <c r="AD30" s="192">
        <f t="shared" si="6"/>
        <v>0.19</v>
      </c>
      <c r="AE30" s="192">
        <f t="shared" si="7"/>
        <v>0.164787022</v>
      </c>
      <c r="AF30" s="192">
        <f t="shared" si="8"/>
        <v>0.11891031507520002</v>
      </c>
      <c r="AG30" s="192">
        <f t="shared" si="9"/>
        <v>0.14338118784220003</v>
      </c>
      <c r="AH30" s="192">
        <f t="shared" si="10"/>
        <v>0.17791230830230004</v>
      </c>
    </row>
    <row r="31" spans="2:34" s="186" customFormat="1" ht="18">
      <c r="B31" s="189">
        <v>0.26</v>
      </c>
      <c r="C31" s="190">
        <f t="shared" si="0"/>
        <v>0.20359220800000002</v>
      </c>
      <c r="E31" s="189">
        <v>0.56</v>
      </c>
      <c r="F31" s="190">
        <f t="shared" si="1"/>
        <v>0.379510528</v>
      </c>
      <c r="H31" s="189">
        <v>0.86</v>
      </c>
      <c r="I31" s="190">
        <f t="shared" si="2"/>
        <v>0.6744880480000001</v>
      </c>
      <c r="O31" s="189">
        <v>0.26</v>
      </c>
      <c r="P31" s="212">
        <f t="shared" si="4"/>
        <v>0.20359220800000002</v>
      </c>
      <c r="S31" s="186">
        <v>0.26</v>
      </c>
      <c r="T31" s="192">
        <f>T30+$U$32</f>
        <v>0.1684</v>
      </c>
      <c r="U31" s="186" t="s">
        <v>158</v>
      </c>
      <c r="AC31" s="186">
        <v>20</v>
      </c>
      <c r="AD31" s="192">
        <f>AC31/100</f>
        <v>0.2</v>
      </c>
      <c r="AE31" s="192">
        <f>0.858*AD31^3-0.78*AD31^2+0.774*AD31+0.04</f>
        <v>0.17046400000000003</v>
      </c>
      <c r="AF31" s="192">
        <f>$AE$4*AE31*$AE$7</f>
        <v>0.12300682240000003</v>
      </c>
      <c r="AG31" s="192">
        <f>$AE$5*AE31*$AE$7</f>
        <v>0.14832072640000005</v>
      </c>
      <c r="AH31" s="192">
        <f>$AE$6*AE31*$AE$7</f>
        <v>0.18404145760000007</v>
      </c>
    </row>
    <row r="32" spans="2:34" s="186" customFormat="1" ht="18">
      <c r="B32" s="189">
        <v>0.27</v>
      </c>
      <c r="C32" s="190">
        <f t="shared" si="0"/>
        <v>0.20900601400000005</v>
      </c>
      <c r="E32" s="189">
        <v>0.57</v>
      </c>
      <c r="F32" s="190">
        <f t="shared" si="1"/>
        <v>0.38665359399999993</v>
      </c>
      <c r="H32" s="189">
        <v>0.87</v>
      </c>
      <c r="I32" s="190">
        <f t="shared" si="2"/>
        <v>0.6879935739999999</v>
      </c>
      <c r="O32" s="189">
        <v>0.27</v>
      </c>
      <c r="P32" s="212">
        <f t="shared" si="4"/>
        <v>0.20900601400000005</v>
      </c>
      <c r="S32" s="186">
        <v>0.27</v>
      </c>
      <c r="T32" s="192">
        <f aca="true" t="shared" si="11" ref="T32:T54">T31+$U$32</f>
        <v>0.17679999999999998</v>
      </c>
      <c r="U32" s="186">
        <f>(T55-T30)/25</f>
        <v>0.0084</v>
      </c>
      <c r="AC32" s="186">
        <v>21</v>
      </c>
      <c r="AD32" s="192">
        <f aca="true" t="shared" si="12" ref="AD32:AD95">AC32/100</f>
        <v>0.21</v>
      </c>
      <c r="AE32" s="192">
        <f aca="true" t="shared" si="13" ref="AE32:AE95">0.858*AD32^3-0.78*AD32^2+0.774*AD32+0.04</f>
        <v>0.176087938</v>
      </c>
      <c r="AF32" s="192">
        <f aca="true" t="shared" si="14" ref="AF32:AF95">$AE$4*AE32*$AE$7</f>
        <v>0.1270650560608</v>
      </c>
      <c r="AG32" s="192">
        <f aca="true" t="shared" si="15" ref="AG32:AG95">$AE$5*AE32*$AE$7</f>
        <v>0.15321411485380004</v>
      </c>
      <c r="AH32" s="192">
        <f aca="true" t="shared" si="16" ref="AH32:AH95">$AE$6*AE32*$AE$7</f>
        <v>0.1901133422617</v>
      </c>
    </row>
    <row r="33" spans="2:34" s="186" customFormat="1" ht="18">
      <c r="B33" s="189">
        <v>0.28</v>
      </c>
      <c r="C33" s="190">
        <f t="shared" si="0"/>
        <v>0.21440281600000002</v>
      </c>
      <c r="E33" s="189">
        <v>0.58</v>
      </c>
      <c r="F33" s="190">
        <f t="shared" si="1"/>
        <v>0.3939340959999999</v>
      </c>
      <c r="H33" s="189">
        <v>0.88</v>
      </c>
      <c r="I33" s="190">
        <f t="shared" si="2"/>
        <v>0.7017909760000001</v>
      </c>
      <c r="O33" s="189">
        <v>0.28</v>
      </c>
      <c r="P33" s="212">
        <f t="shared" si="4"/>
        <v>0.21440281600000002</v>
      </c>
      <c r="S33" s="186">
        <v>0.28</v>
      </c>
      <c r="T33" s="192">
        <f t="shared" si="11"/>
        <v>0.18519999999999998</v>
      </c>
      <c r="AC33" s="186">
        <v>22</v>
      </c>
      <c r="AD33" s="192">
        <f t="shared" si="12"/>
        <v>0.22</v>
      </c>
      <c r="AE33" s="192">
        <f t="shared" si="13"/>
        <v>0.18166398400000003</v>
      </c>
      <c r="AF33" s="192">
        <f t="shared" si="14"/>
        <v>0.13108873085440004</v>
      </c>
      <c r="AG33" s="192">
        <f t="shared" si="15"/>
        <v>0.15806583247840006</v>
      </c>
      <c r="AH33" s="192">
        <f t="shared" si="16"/>
        <v>0.19613352032560005</v>
      </c>
    </row>
    <row r="34" spans="2:34" s="186" customFormat="1" ht="18.75" thickBot="1">
      <c r="B34" s="195">
        <v>0.29</v>
      </c>
      <c r="C34" s="196">
        <f t="shared" si="0"/>
        <v>0.219787762</v>
      </c>
      <c r="E34" s="195">
        <v>0.59</v>
      </c>
      <c r="F34" s="196">
        <f t="shared" si="1"/>
        <v>0.401357182</v>
      </c>
      <c r="H34" s="195">
        <v>0.89</v>
      </c>
      <c r="I34" s="196">
        <f t="shared" si="2"/>
        <v>0.7158854020000001</v>
      </c>
      <c r="O34" s="195">
        <v>0.29</v>
      </c>
      <c r="P34" s="214">
        <f t="shared" si="4"/>
        <v>0.219787762</v>
      </c>
      <c r="S34" s="186">
        <v>0.29</v>
      </c>
      <c r="T34" s="192">
        <f t="shared" si="11"/>
        <v>0.19359999999999997</v>
      </c>
      <c r="AC34" s="186">
        <v>23</v>
      </c>
      <c r="AD34" s="192">
        <f t="shared" si="12"/>
        <v>0.23</v>
      </c>
      <c r="AE34" s="192">
        <f t="shared" si="13"/>
        <v>0.18719728600000002</v>
      </c>
      <c r="AF34" s="192">
        <f t="shared" si="14"/>
        <v>0.13508156157760004</v>
      </c>
      <c r="AG34" s="192">
        <f t="shared" si="15"/>
        <v>0.16288035854860006</v>
      </c>
      <c r="AH34" s="192">
        <f t="shared" si="16"/>
        <v>0.20210754982990006</v>
      </c>
    </row>
    <row r="35" spans="5:34" s="186" customFormat="1" ht="18">
      <c r="E35" s="197"/>
      <c r="F35" s="198"/>
      <c r="O35" s="189">
        <v>0.3</v>
      </c>
      <c r="P35" s="212">
        <f t="shared" si="4"/>
        <v>0.225166</v>
      </c>
      <c r="S35" s="186">
        <v>0.3</v>
      </c>
      <c r="T35" s="192">
        <f t="shared" si="11"/>
        <v>0.20199999999999996</v>
      </c>
      <c r="AC35" s="186">
        <v>24</v>
      </c>
      <c r="AD35" s="192">
        <f t="shared" si="12"/>
        <v>0.24</v>
      </c>
      <c r="AE35" s="192">
        <f t="shared" si="13"/>
        <v>0.192692992</v>
      </c>
      <c r="AF35" s="192">
        <f t="shared" si="14"/>
        <v>0.1390472630272</v>
      </c>
      <c r="AG35" s="192">
        <f t="shared" si="15"/>
        <v>0.16766217233920003</v>
      </c>
      <c r="AH35" s="192">
        <f t="shared" si="16"/>
        <v>0.20804098881280006</v>
      </c>
    </row>
    <row r="36" spans="5:34" s="186" customFormat="1" ht="18">
      <c r="E36" s="199"/>
      <c r="F36" s="200"/>
      <c r="O36" s="189">
        <v>0.31</v>
      </c>
      <c r="P36" s="212">
        <f t="shared" si="4"/>
        <v>0.23054267800000003</v>
      </c>
      <c r="S36" s="186">
        <v>0.31</v>
      </c>
      <c r="T36" s="192">
        <f t="shared" si="11"/>
        <v>0.21039999999999995</v>
      </c>
      <c r="AC36" s="186">
        <v>25</v>
      </c>
      <c r="AD36" s="192">
        <f t="shared" si="12"/>
        <v>0.25</v>
      </c>
      <c r="AE36" s="192">
        <f t="shared" si="13"/>
        <v>0.19815625</v>
      </c>
      <c r="AF36" s="192">
        <f t="shared" si="14"/>
        <v>0.14298955000000002</v>
      </c>
      <c r="AG36" s="192">
        <f t="shared" si="15"/>
        <v>0.17241575312500004</v>
      </c>
      <c r="AH36" s="192">
        <f t="shared" si="16"/>
        <v>0.21393939531250003</v>
      </c>
    </row>
    <row r="37" spans="5:34" s="186" customFormat="1" ht="18">
      <c r="E37" s="199"/>
      <c r="F37" s="200"/>
      <c r="O37" s="189">
        <v>0.32</v>
      </c>
      <c r="P37" s="212">
        <f t="shared" si="4"/>
        <v>0.235922944</v>
      </c>
      <c r="S37" s="186">
        <v>0.32</v>
      </c>
      <c r="T37" s="192">
        <f t="shared" si="11"/>
        <v>0.21879999999999994</v>
      </c>
      <c r="AC37" s="186">
        <v>26</v>
      </c>
      <c r="AD37" s="192">
        <f t="shared" si="12"/>
        <v>0.26</v>
      </c>
      <c r="AE37" s="192">
        <f t="shared" si="13"/>
        <v>0.20359220800000002</v>
      </c>
      <c r="AF37" s="192">
        <f t="shared" si="14"/>
        <v>0.14691213729280003</v>
      </c>
      <c r="AG37" s="192">
        <f t="shared" si="15"/>
        <v>0.17714558018080004</v>
      </c>
      <c r="AH37" s="192">
        <f t="shared" si="16"/>
        <v>0.21980832736720005</v>
      </c>
    </row>
    <row r="38" spans="5:34" s="186" customFormat="1" ht="18">
      <c r="E38" s="199"/>
      <c r="F38" s="200"/>
      <c r="O38" s="189">
        <v>0.33</v>
      </c>
      <c r="P38" s="212">
        <f t="shared" si="4"/>
        <v>0.24131194600000003</v>
      </c>
      <c r="S38" s="186">
        <v>0.33</v>
      </c>
      <c r="T38" s="192">
        <f t="shared" si="11"/>
        <v>0.22719999999999993</v>
      </c>
      <c r="AC38" s="186">
        <v>27</v>
      </c>
      <c r="AD38" s="192">
        <f t="shared" si="12"/>
        <v>0.27</v>
      </c>
      <c r="AE38" s="192">
        <f t="shared" si="13"/>
        <v>0.20900601400000005</v>
      </c>
      <c r="AF38" s="192">
        <f t="shared" si="14"/>
        <v>0.15081873970240006</v>
      </c>
      <c r="AG38" s="192">
        <f t="shared" si="15"/>
        <v>0.18185613278140006</v>
      </c>
      <c r="AH38" s="192">
        <f t="shared" si="16"/>
        <v>0.2256533430151001</v>
      </c>
    </row>
    <row r="39" spans="5:34" s="186" customFormat="1" ht="18">
      <c r="E39" s="199"/>
      <c r="F39" s="200"/>
      <c r="O39" s="189">
        <v>0.34</v>
      </c>
      <c r="P39" s="212">
        <f t="shared" si="4"/>
        <v>0.246714832</v>
      </c>
      <c r="S39" s="186">
        <v>0.34</v>
      </c>
      <c r="T39" s="192">
        <f t="shared" si="11"/>
        <v>0.23559999999999992</v>
      </c>
      <c r="AC39" s="186">
        <v>28</v>
      </c>
      <c r="AD39" s="192">
        <f t="shared" si="12"/>
        <v>0.28</v>
      </c>
      <c r="AE39" s="192">
        <f t="shared" si="13"/>
        <v>0.21440281600000002</v>
      </c>
      <c r="AF39" s="192">
        <f t="shared" si="14"/>
        <v>0.15471307202560006</v>
      </c>
      <c r="AG39" s="192">
        <f t="shared" si="15"/>
        <v>0.18655189020160007</v>
      </c>
      <c r="AH39" s="192">
        <f t="shared" si="16"/>
        <v>0.23148000029440005</v>
      </c>
    </row>
    <row r="40" spans="5:34" s="186" customFormat="1" ht="18">
      <c r="E40" s="199"/>
      <c r="F40" s="200"/>
      <c r="O40" s="189">
        <v>0.35</v>
      </c>
      <c r="P40" s="212">
        <f t="shared" si="4"/>
        <v>0.25213674999999997</v>
      </c>
      <c r="S40" s="186">
        <v>0.35</v>
      </c>
      <c r="T40" s="192">
        <f t="shared" si="11"/>
        <v>0.2439999999999999</v>
      </c>
      <c r="AC40" s="186">
        <v>29</v>
      </c>
      <c r="AD40" s="192">
        <f t="shared" si="12"/>
        <v>0.29</v>
      </c>
      <c r="AE40" s="192">
        <f t="shared" si="13"/>
        <v>0.219787762</v>
      </c>
      <c r="AF40" s="192">
        <f t="shared" si="14"/>
        <v>0.15859884905920002</v>
      </c>
      <c r="AG40" s="192">
        <f t="shared" si="15"/>
        <v>0.19123733171620003</v>
      </c>
      <c r="AH40" s="192">
        <f t="shared" si="16"/>
        <v>0.23729385724330004</v>
      </c>
    </row>
    <row r="41" spans="5:34" s="186" customFormat="1" ht="18">
      <c r="E41" s="199"/>
      <c r="F41" s="200"/>
      <c r="O41" s="189">
        <v>0.36</v>
      </c>
      <c r="P41" s="212">
        <f t="shared" si="4"/>
        <v>0.257582848</v>
      </c>
      <c r="S41" s="186">
        <v>0.36</v>
      </c>
      <c r="T41" s="192">
        <f t="shared" si="11"/>
        <v>0.2523999999999999</v>
      </c>
      <c r="AC41" s="186">
        <v>30</v>
      </c>
      <c r="AD41" s="192">
        <f t="shared" si="12"/>
        <v>0.3</v>
      </c>
      <c r="AE41" s="192">
        <f t="shared" si="13"/>
        <v>0.225166</v>
      </c>
      <c r="AF41" s="192">
        <f t="shared" si="14"/>
        <v>0.1624797856</v>
      </c>
      <c r="AG41" s="192">
        <f t="shared" si="15"/>
        <v>0.19591693660000004</v>
      </c>
      <c r="AH41" s="192">
        <f t="shared" si="16"/>
        <v>0.24310047190000006</v>
      </c>
    </row>
    <row r="42" spans="5:34" s="186" customFormat="1" ht="18">
      <c r="E42" s="199"/>
      <c r="F42" s="200"/>
      <c r="O42" s="189">
        <v>0.37</v>
      </c>
      <c r="P42" s="212">
        <f t="shared" si="4"/>
        <v>0.263058274</v>
      </c>
      <c r="S42" s="186">
        <v>0.37</v>
      </c>
      <c r="T42" s="192">
        <f t="shared" si="11"/>
        <v>0.2607999999999999</v>
      </c>
      <c r="AC42" s="186">
        <v>31</v>
      </c>
      <c r="AD42" s="192">
        <f t="shared" si="12"/>
        <v>0.31</v>
      </c>
      <c r="AE42" s="192">
        <f t="shared" si="13"/>
        <v>0.23054267800000003</v>
      </c>
      <c r="AF42" s="192">
        <f t="shared" si="14"/>
        <v>0.16635959644480006</v>
      </c>
      <c r="AG42" s="192">
        <f t="shared" si="15"/>
        <v>0.20059518412780006</v>
      </c>
      <c r="AH42" s="192">
        <f t="shared" si="16"/>
        <v>0.24890540230270006</v>
      </c>
    </row>
    <row r="43" spans="5:34" s="186" customFormat="1" ht="18">
      <c r="E43" s="199"/>
      <c r="F43" s="200"/>
      <c r="O43" s="189">
        <v>0.38</v>
      </c>
      <c r="P43" s="212">
        <f t="shared" si="4"/>
        <v>0.268568176</v>
      </c>
      <c r="S43" s="186">
        <v>0.38</v>
      </c>
      <c r="T43" s="192">
        <f t="shared" si="11"/>
        <v>0.26919999999999994</v>
      </c>
      <c r="AC43" s="186">
        <v>32</v>
      </c>
      <c r="AD43" s="192">
        <f t="shared" si="12"/>
        <v>0.32</v>
      </c>
      <c r="AE43" s="192">
        <f t="shared" si="13"/>
        <v>0.235922944</v>
      </c>
      <c r="AF43" s="192">
        <f t="shared" si="14"/>
        <v>0.17024199639040002</v>
      </c>
      <c r="AG43" s="192">
        <f t="shared" si="15"/>
        <v>0.20527655357440003</v>
      </c>
      <c r="AH43" s="192">
        <f t="shared" si="16"/>
        <v>0.2547142064896</v>
      </c>
    </row>
    <row r="44" spans="5:34" s="186" customFormat="1" ht="18">
      <c r="E44" s="199"/>
      <c r="F44" s="200"/>
      <c r="O44" s="193">
        <v>0.39</v>
      </c>
      <c r="P44" s="213">
        <f t="shared" si="4"/>
        <v>0.274117702</v>
      </c>
      <c r="S44" s="186">
        <v>0.39</v>
      </c>
      <c r="T44" s="192">
        <f t="shared" si="11"/>
        <v>0.27759999999999996</v>
      </c>
      <c r="AC44" s="186">
        <v>33</v>
      </c>
      <c r="AD44" s="192">
        <f t="shared" si="12"/>
        <v>0.33</v>
      </c>
      <c r="AE44" s="192">
        <f t="shared" si="13"/>
        <v>0.24131194600000003</v>
      </c>
      <c r="AF44" s="192">
        <f t="shared" si="14"/>
        <v>0.17413070023360003</v>
      </c>
      <c r="AG44" s="192">
        <f t="shared" si="15"/>
        <v>0.20996552421460007</v>
      </c>
      <c r="AH44" s="192">
        <f t="shared" si="16"/>
        <v>0.26053244249890006</v>
      </c>
    </row>
    <row r="45" spans="5:34" s="186" customFormat="1" ht="18">
      <c r="E45" s="199"/>
      <c r="F45" s="200"/>
      <c r="O45" s="189">
        <v>0.4</v>
      </c>
      <c r="P45" s="212">
        <f t="shared" si="4"/>
        <v>0.279712</v>
      </c>
      <c r="S45" s="186">
        <v>0.4</v>
      </c>
      <c r="T45" s="192">
        <f t="shared" si="11"/>
        <v>0.286</v>
      </c>
      <c r="AC45" s="186">
        <v>34</v>
      </c>
      <c r="AD45" s="192">
        <f t="shared" si="12"/>
        <v>0.34</v>
      </c>
      <c r="AE45" s="192">
        <f t="shared" si="13"/>
        <v>0.246714832</v>
      </c>
      <c r="AF45" s="192">
        <f t="shared" si="14"/>
        <v>0.1780294227712</v>
      </c>
      <c r="AG45" s="192">
        <f t="shared" si="15"/>
        <v>0.21466657532320002</v>
      </c>
      <c r="AH45" s="192">
        <f t="shared" si="16"/>
        <v>0.26636566836880005</v>
      </c>
    </row>
    <row r="46" spans="5:34" s="186" customFormat="1" ht="18">
      <c r="E46" s="199"/>
      <c r="F46" s="200"/>
      <c r="O46" s="189">
        <v>0.41</v>
      </c>
      <c r="P46" s="212">
        <f t="shared" si="4"/>
        <v>0.285356218</v>
      </c>
      <c r="S46" s="186">
        <v>0.41</v>
      </c>
      <c r="T46" s="192">
        <f t="shared" si="11"/>
        <v>0.2944</v>
      </c>
      <c r="AC46" s="186">
        <v>35</v>
      </c>
      <c r="AD46" s="192">
        <f t="shared" si="12"/>
        <v>0.35</v>
      </c>
      <c r="AE46" s="192">
        <f t="shared" si="13"/>
        <v>0.25213674999999997</v>
      </c>
      <c r="AF46" s="192">
        <f t="shared" si="14"/>
        <v>0.18194187879999998</v>
      </c>
      <c r="AG46" s="192">
        <f t="shared" si="15"/>
        <v>0.21938418617500002</v>
      </c>
      <c r="AH46" s="192">
        <f t="shared" si="16"/>
        <v>0.2722194421375</v>
      </c>
    </row>
    <row r="47" spans="5:34" s="186" customFormat="1" ht="18">
      <c r="E47" s="199"/>
      <c r="F47" s="200"/>
      <c r="O47" s="189">
        <v>0.42</v>
      </c>
      <c r="P47" s="212">
        <f t="shared" si="4"/>
        <v>0.29105550399999996</v>
      </c>
      <c r="S47" s="186">
        <v>0.42</v>
      </c>
      <c r="T47" s="192">
        <f t="shared" si="11"/>
        <v>0.3028</v>
      </c>
      <c r="AC47" s="186">
        <v>36</v>
      </c>
      <c r="AD47" s="192">
        <f t="shared" si="12"/>
        <v>0.36</v>
      </c>
      <c r="AE47" s="192">
        <f t="shared" si="13"/>
        <v>0.257582848</v>
      </c>
      <c r="AF47" s="192">
        <f t="shared" si="14"/>
        <v>0.1858717831168</v>
      </c>
      <c r="AG47" s="192">
        <f t="shared" si="15"/>
        <v>0.22412283604480002</v>
      </c>
      <c r="AH47" s="192">
        <f t="shared" si="16"/>
        <v>0.2780993218432</v>
      </c>
    </row>
    <row r="48" spans="5:34" s="186" customFormat="1" ht="18">
      <c r="E48" s="199"/>
      <c r="F48" s="200"/>
      <c r="O48" s="189">
        <v>0.43</v>
      </c>
      <c r="P48" s="212">
        <f t="shared" si="4"/>
        <v>0.296815006</v>
      </c>
      <c r="S48" s="186">
        <v>0.43</v>
      </c>
      <c r="T48" s="192">
        <f t="shared" si="11"/>
        <v>0.31120000000000003</v>
      </c>
      <c r="AC48" s="186">
        <v>37</v>
      </c>
      <c r="AD48" s="192">
        <f t="shared" si="12"/>
        <v>0.37</v>
      </c>
      <c r="AE48" s="192">
        <f t="shared" si="13"/>
        <v>0.263058274</v>
      </c>
      <c r="AF48" s="192">
        <f t="shared" si="14"/>
        <v>0.1898228505184</v>
      </c>
      <c r="AG48" s="192">
        <f t="shared" si="15"/>
        <v>0.22888700420740002</v>
      </c>
      <c r="AH48" s="192">
        <f t="shared" si="16"/>
        <v>0.28401086552410004</v>
      </c>
    </row>
    <row r="49" spans="5:34" s="186" customFormat="1" ht="18">
      <c r="E49" s="199"/>
      <c r="F49" s="200"/>
      <c r="O49" s="189">
        <v>0.44</v>
      </c>
      <c r="P49" s="212">
        <f t="shared" si="4"/>
        <v>0.30263987200000003</v>
      </c>
      <c r="S49" s="186">
        <v>0.44</v>
      </c>
      <c r="T49" s="192">
        <f t="shared" si="11"/>
        <v>0.31960000000000005</v>
      </c>
      <c r="AC49" s="186">
        <v>38</v>
      </c>
      <c r="AD49" s="192">
        <f t="shared" si="12"/>
        <v>0.38</v>
      </c>
      <c r="AE49" s="192">
        <f t="shared" si="13"/>
        <v>0.268568176</v>
      </c>
      <c r="AF49" s="192">
        <f t="shared" si="14"/>
        <v>0.1937987958016</v>
      </c>
      <c r="AG49" s="192">
        <f t="shared" si="15"/>
        <v>0.23368116993760002</v>
      </c>
      <c r="AH49" s="192">
        <f t="shared" si="16"/>
        <v>0.2899596312184</v>
      </c>
    </row>
    <row r="50" spans="5:34" s="186" customFormat="1" ht="18">
      <c r="E50" s="199"/>
      <c r="F50" s="200"/>
      <c r="O50" s="189">
        <v>0.45</v>
      </c>
      <c r="P50" s="212">
        <f t="shared" si="4"/>
        <v>0.30853525</v>
      </c>
      <c r="S50" s="186">
        <v>0.45</v>
      </c>
      <c r="T50" s="192">
        <f t="shared" si="11"/>
        <v>0.32800000000000007</v>
      </c>
      <c r="AC50" s="186">
        <v>39</v>
      </c>
      <c r="AD50" s="192">
        <f t="shared" si="12"/>
        <v>0.39</v>
      </c>
      <c r="AE50" s="192">
        <f t="shared" si="13"/>
        <v>0.274117702</v>
      </c>
      <c r="AF50" s="192">
        <f t="shared" si="14"/>
        <v>0.19780333376320003</v>
      </c>
      <c r="AG50" s="192">
        <f t="shared" si="15"/>
        <v>0.23850981251020004</v>
      </c>
      <c r="AH50" s="192">
        <f t="shared" si="16"/>
        <v>0.29595117696430007</v>
      </c>
    </row>
    <row r="51" spans="5:34" s="186" customFormat="1" ht="18">
      <c r="E51" s="199"/>
      <c r="F51" s="200"/>
      <c r="O51" s="189">
        <v>0.46</v>
      </c>
      <c r="P51" s="212">
        <f t="shared" si="4"/>
        <v>0.314506288</v>
      </c>
      <c r="S51" s="186">
        <v>0.46</v>
      </c>
      <c r="T51" s="192">
        <f t="shared" si="11"/>
        <v>0.3364000000000001</v>
      </c>
      <c r="AC51" s="186">
        <v>40</v>
      </c>
      <c r="AD51" s="192">
        <f t="shared" si="12"/>
        <v>0.4</v>
      </c>
      <c r="AE51" s="192">
        <f t="shared" si="13"/>
        <v>0.279712</v>
      </c>
      <c r="AF51" s="192">
        <f t="shared" si="14"/>
        <v>0.20184017920000002</v>
      </c>
      <c r="AG51" s="192">
        <f t="shared" si="15"/>
        <v>0.24337741120000003</v>
      </c>
      <c r="AH51" s="192">
        <f t="shared" si="16"/>
        <v>0.30199106080000004</v>
      </c>
    </row>
    <row r="52" spans="5:34" s="186" customFormat="1" ht="18">
      <c r="E52" s="199"/>
      <c r="F52" s="200"/>
      <c r="O52" s="189">
        <v>0.47</v>
      </c>
      <c r="P52" s="212">
        <f t="shared" si="4"/>
        <v>0.320558134</v>
      </c>
      <c r="S52" s="186">
        <v>0.47</v>
      </c>
      <c r="T52" s="192">
        <f t="shared" si="11"/>
        <v>0.3448000000000001</v>
      </c>
      <c r="AC52" s="186">
        <v>41</v>
      </c>
      <c r="AD52" s="192">
        <f t="shared" si="12"/>
        <v>0.41</v>
      </c>
      <c r="AE52" s="192">
        <f t="shared" si="13"/>
        <v>0.285356218</v>
      </c>
      <c r="AF52" s="192">
        <f t="shared" si="14"/>
        <v>0.2059130469088</v>
      </c>
      <c r="AG52" s="192">
        <f t="shared" si="15"/>
        <v>0.24828844528180002</v>
      </c>
      <c r="AH52" s="192">
        <f t="shared" si="16"/>
        <v>0.3080848407637</v>
      </c>
    </row>
    <row r="53" spans="4:34" ht="18">
      <c r="D53" s="125"/>
      <c r="E53" s="137"/>
      <c r="F53" s="138"/>
      <c r="O53" s="126">
        <v>0.48</v>
      </c>
      <c r="P53" s="215">
        <f t="shared" si="4"/>
        <v>0.32669593599999996</v>
      </c>
      <c r="S53" s="186">
        <v>0.48</v>
      </c>
      <c r="T53" s="192">
        <f t="shared" si="11"/>
        <v>0.3532000000000001</v>
      </c>
      <c r="U53" s="186"/>
      <c r="AC53" s="186">
        <v>42</v>
      </c>
      <c r="AD53" s="192">
        <f t="shared" si="12"/>
        <v>0.42</v>
      </c>
      <c r="AE53" s="192">
        <f t="shared" si="13"/>
        <v>0.29105550399999996</v>
      </c>
      <c r="AF53" s="192">
        <f t="shared" si="14"/>
        <v>0.2100256516864</v>
      </c>
      <c r="AG53" s="192">
        <f t="shared" si="15"/>
        <v>0.2532473940304</v>
      </c>
      <c r="AH53" s="192">
        <f t="shared" si="16"/>
        <v>0.3142380748936</v>
      </c>
    </row>
    <row r="54" spans="4:34" ht="18">
      <c r="D54" s="125"/>
      <c r="E54" s="137"/>
      <c r="F54" s="138"/>
      <c r="O54" s="136">
        <v>0.49</v>
      </c>
      <c r="P54" s="216">
        <f t="shared" si="4"/>
        <v>0.33292484199999994</v>
      </c>
      <c r="S54" s="186">
        <v>0.49</v>
      </c>
      <c r="T54" s="192">
        <f t="shared" si="11"/>
        <v>0.36160000000000014</v>
      </c>
      <c r="U54" s="186"/>
      <c r="AC54" s="186">
        <v>43</v>
      </c>
      <c r="AD54" s="192">
        <f t="shared" si="12"/>
        <v>0.43</v>
      </c>
      <c r="AE54" s="192">
        <f t="shared" si="13"/>
        <v>0.296815006</v>
      </c>
      <c r="AF54" s="192">
        <f t="shared" si="14"/>
        <v>0.21418170832960004</v>
      </c>
      <c r="AG54" s="192">
        <f t="shared" si="15"/>
        <v>0.2582587367206</v>
      </c>
      <c r="AH54" s="192">
        <f t="shared" si="16"/>
        <v>0.3204563212279</v>
      </c>
    </row>
    <row r="55" spans="4:34" ht="18">
      <c r="D55" s="125"/>
      <c r="E55" s="137"/>
      <c r="F55" s="138"/>
      <c r="O55" s="126">
        <v>0.5</v>
      </c>
      <c r="P55" s="215">
        <f t="shared" si="4"/>
        <v>0.33925</v>
      </c>
      <c r="S55" s="186">
        <v>0.5</v>
      </c>
      <c r="T55" s="192">
        <v>0.37</v>
      </c>
      <c r="U55" s="186"/>
      <c r="AC55" s="186">
        <v>44</v>
      </c>
      <c r="AD55" s="192">
        <f t="shared" si="12"/>
        <v>0.44</v>
      </c>
      <c r="AE55" s="192">
        <f t="shared" si="13"/>
        <v>0.30263987200000003</v>
      </c>
      <c r="AF55" s="192">
        <f t="shared" si="14"/>
        <v>0.21838493163520004</v>
      </c>
      <c r="AG55" s="192">
        <f t="shared" si="15"/>
        <v>0.2633269526272001</v>
      </c>
      <c r="AH55" s="192">
        <f t="shared" si="16"/>
        <v>0.3267451378048001</v>
      </c>
    </row>
    <row r="56" spans="5:34" ht="18">
      <c r="E56" s="139"/>
      <c r="F56" s="139"/>
      <c r="O56" s="126">
        <v>0.51</v>
      </c>
      <c r="P56" s="215">
        <f t="shared" si="4"/>
        <v>0.345676558</v>
      </c>
      <c r="S56" s="186">
        <v>0.51</v>
      </c>
      <c r="T56" s="192">
        <f>T55+$U$57</f>
        <v>0.3768</v>
      </c>
      <c r="U56" s="186" t="s">
        <v>158</v>
      </c>
      <c r="AC56" s="186">
        <v>45</v>
      </c>
      <c r="AD56" s="192">
        <f t="shared" si="12"/>
        <v>0.45</v>
      </c>
      <c r="AE56" s="192">
        <f t="shared" si="13"/>
        <v>0.30853525</v>
      </c>
      <c r="AF56" s="192">
        <f t="shared" si="14"/>
        <v>0.2226390364</v>
      </c>
      <c r="AG56" s="192">
        <f t="shared" si="15"/>
        <v>0.268456521025</v>
      </c>
      <c r="AH56" s="192">
        <f t="shared" si="16"/>
        <v>0.33311008266250003</v>
      </c>
    </row>
    <row r="57" spans="5:34" ht="18">
      <c r="E57" s="139"/>
      <c r="F57" s="139"/>
      <c r="O57" s="126">
        <v>0.52</v>
      </c>
      <c r="P57" s="215">
        <f t="shared" si="4"/>
        <v>0.352209664</v>
      </c>
      <c r="S57" s="186">
        <v>0.52</v>
      </c>
      <c r="T57" s="192">
        <f aca="true" t="shared" si="17" ref="T57:T79">T56+$U$57</f>
        <v>0.38360000000000005</v>
      </c>
      <c r="U57" s="186">
        <f>(T80-T55)/25</f>
        <v>0.006800000000000001</v>
      </c>
      <c r="AC57" s="186">
        <v>46</v>
      </c>
      <c r="AD57" s="192">
        <f t="shared" si="12"/>
        <v>0.46</v>
      </c>
      <c r="AE57" s="192">
        <f t="shared" si="13"/>
        <v>0.314506288</v>
      </c>
      <c r="AF57" s="192">
        <f t="shared" si="14"/>
        <v>0.22694773742080004</v>
      </c>
      <c r="AG57" s="192">
        <f t="shared" si="15"/>
        <v>0.27365192118880005</v>
      </c>
      <c r="AH57" s="192">
        <f t="shared" si="16"/>
        <v>0.33955671383920005</v>
      </c>
    </row>
    <row r="58" spans="5:34" ht="18">
      <c r="E58" s="139"/>
      <c r="F58" s="139"/>
      <c r="O58" s="126">
        <v>0.53</v>
      </c>
      <c r="P58" s="215">
        <f t="shared" si="4"/>
        <v>0.358854466</v>
      </c>
      <c r="S58" s="186">
        <v>0.53</v>
      </c>
      <c r="T58" s="192">
        <f t="shared" si="17"/>
        <v>0.3904000000000001</v>
      </c>
      <c r="U58" s="186"/>
      <c r="AC58" s="186">
        <v>47</v>
      </c>
      <c r="AD58" s="192">
        <f t="shared" si="12"/>
        <v>0.47</v>
      </c>
      <c r="AE58" s="192">
        <f t="shared" si="13"/>
        <v>0.320558134</v>
      </c>
      <c r="AF58" s="192">
        <f t="shared" si="14"/>
        <v>0.2313147494944</v>
      </c>
      <c r="AG58" s="192">
        <f t="shared" si="15"/>
        <v>0.27891763239340006</v>
      </c>
      <c r="AH58" s="192">
        <f t="shared" si="16"/>
        <v>0.34609058937310005</v>
      </c>
    </row>
    <row r="59" spans="5:34" ht="18">
      <c r="E59" s="139"/>
      <c r="F59" s="139"/>
      <c r="O59" s="126">
        <v>0.54</v>
      </c>
      <c r="P59" s="215">
        <f t="shared" si="4"/>
        <v>0.36561611200000005</v>
      </c>
      <c r="S59" s="186">
        <v>0.54</v>
      </c>
      <c r="T59" s="192">
        <f t="shared" si="17"/>
        <v>0.3972000000000001</v>
      </c>
      <c r="U59" s="186"/>
      <c r="AC59" s="186">
        <v>48</v>
      </c>
      <c r="AD59" s="192">
        <f t="shared" si="12"/>
        <v>0.48</v>
      </c>
      <c r="AE59" s="192">
        <f t="shared" si="13"/>
        <v>0.32669593599999996</v>
      </c>
      <c r="AF59" s="192">
        <f t="shared" si="14"/>
        <v>0.2357437874176</v>
      </c>
      <c r="AG59" s="192">
        <f t="shared" si="15"/>
        <v>0.2842581339136</v>
      </c>
      <c r="AH59" s="192">
        <f t="shared" si="16"/>
        <v>0.3527172673024</v>
      </c>
    </row>
    <row r="60" spans="5:34" ht="18">
      <c r="E60" s="139"/>
      <c r="F60" s="139"/>
      <c r="O60" s="126">
        <v>0.55</v>
      </c>
      <c r="P60" s="215">
        <f t="shared" si="4"/>
        <v>0.37249974999999996</v>
      </c>
      <c r="S60" s="186">
        <v>0.55</v>
      </c>
      <c r="T60" s="192">
        <f t="shared" si="17"/>
        <v>0.40400000000000014</v>
      </c>
      <c r="U60" s="186"/>
      <c r="AC60" s="186">
        <v>49</v>
      </c>
      <c r="AD60" s="192">
        <f t="shared" si="12"/>
        <v>0.49</v>
      </c>
      <c r="AE60" s="192">
        <f t="shared" si="13"/>
        <v>0.33292484199999994</v>
      </c>
      <c r="AF60" s="192">
        <f t="shared" si="14"/>
        <v>0.24023856598719998</v>
      </c>
      <c r="AG60" s="192">
        <f t="shared" si="15"/>
        <v>0.28967790502420004</v>
      </c>
      <c r="AH60" s="192">
        <f t="shared" si="16"/>
        <v>0.35944230566529994</v>
      </c>
    </row>
    <row r="61" spans="15:34" ht="18">
      <c r="O61" s="126">
        <v>0.56</v>
      </c>
      <c r="P61" s="215">
        <f t="shared" si="4"/>
        <v>0.379510528</v>
      </c>
      <c r="S61" s="186">
        <v>0.56</v>
      </c>
      <c r="T61" s="192">
        <f t="shared" si="17"/>
        <v>0.41080000000000017</v>
      </c>
      <c r="U61" s="186"/>
      <c r="AC61" s="186">
        <v>50</v>
      </c>
      <c r="AD61" s="192">
        <f t="shared" si="12"/>
        <v>0.5</v>
      </c>
      <c r="AE61" s="192">
        <f t="shared" si="13"/>
        <v>0.33925</v>
      </c>
      <c r="AF61" s="192">
        <f t="shared" si="14"/>
        <v>0.24480280000000001</v>
      </c>
      <c r="AG61" s="192">
        <f t="shared" si="15"/>
        <v>0.29518142500000005</v>
      </c>
      <c r="AH61" s="192">
        <f t="shared" si="16"/>
        <v>0.3662712625000001</v>
      </c>
    </row>
    <row r="62" spans="15:34" ht="18">
      <c r="O62" s="126">
        <v>0.57</v>
      </c>
      <c r="P62" s="215">
        <f t="shared" si="4"/>
        <v>0.38665359399999993</v>
      </c>
      <c r="S62" s="186">
        <v>0.57</v>
      </c>
      <c r="T62" s="192">
        <f t="shared" si="17"/>
        <v>0.4176000000000002</v>
      </c>
      <c r="U62" s="186"/>
      <c r="AC62" s="186">
        <v>51</v>
      </c>
      <c r="AD62" s="192">
        <f t="shared" si="12"/>
        <v>0.51</v>
      </c>
      <c r="AE62" s="192">
        <f t="shared" si="13"/>
        <v>0.345676558</v>
      </c>
      <c r="AF62" s="192">
        <f t="shared" si="14"/>
        <v>0.24944020425280006</v>
      </c>
      <c r="AG62" s="192">
        <f t="shared" si="15"/>
        <v>0.30077317311580004</v>
      </c>
      <c r="AH62" s="192">
        <f t="shared" si="16"/>
        <v>0.37320969584470004</v>
      </c>
    </row>
    <row r="63" spans="15:34" ht="18">
      <c r="O63" s="126">
        <v>0.58</v>
      </c>
      <c r="P63" s="215">
        <f t="shared" si="4"/>
        <v>0.3939340959999999</v>
      </c>
      <c r="S63" s="186">
        <v>0.58</v>
      </c>
      <c r="T63" s="192">
        <f t="shared" si="17"/>
        <v>0.4244000000000002</v>
      </c>
      <c r="U63" s="186"/>
      <c r="AC63" s="186">
        <v>52</v>
      </c>
      <c r="AD63" s="192">
        <f t="shared" si="12"/>
        <v>0.52</v>
      </c>
      <c r="AE63" s="192">
        <f t="shared" si="13"/>
        <v>0.352209664</v>
      </c>
      <c r="AF63" s="192">
        <f t="shared" si="14"/>
        <v>0.2541544935424</v>
      </c>
      <c r="AG63" s="192">
        <f t="shared" si="15"/>
        <v>0.30645762864639997</v>
      </c>
      <c r="AH63" s="192">
        <f t="shared" si="16"/>
        <v>0.3802631637376</v>
      </c>
    </row>
    <row r="64" spans="15:34" ht="18.75" thickBot="1">
      <c r="O64" s="127">
        <v>0.59</v>
      </c>
      <c r="P64" s="217">
        <f t="shared" si="4"/>
        <v>0.401357182</v>
      </c>
      <c r="S64" s="186">
        <v>0.59</v>
      </c>
      <c r="T64" s="192">
        <f t="shared" si="17"/>
        <v>0.43120000000000025</v>
      </c>
      <c r="U64" s="186"/>
      <c r="AC64" s="186">
        <v>53</v>
      </c>
      <c r="AD64" s="192">
        <f t="shared" si="12"/>
        <v>0.53</v>
      </c>
      <c r="AE64" s="192">
        <f t="shared" si="13"/>
        <v>0.358854466</v>
      </c>
      <c r="AF64" s="192">
        <f t="shared" si="14"/>
        <v>0.2589493826656</v>
      </c>
      <c r="AG64" s="192">
        <f t="shared" si="15"/>
        <v>0.31223927086659997</v>
      </c>
      <c r="AH64" s="192">
        <f t="shared" si="16"/>
        <v>0.3874372242169</v>
      </c>
    </row>
    <row r="65" spans="15:34" ht="18">
      <c r="O65" s="126">
        <v>0.6</v>
      </c>
      <c r="P65" s="215">
        <f t="shared" si="4"/>
        <v>0.40892799999999996</v>
      </c>
      <c r="S65" s="186">
        <v>0.6</v>
      </c>
      <c r="T65" s="192">
        <f t="shared" si="17"/>
        <v>0.4380000000000003</v>
      </c>
      <c r="U65" s="186"/>
      <c r="AC65" s="186">
        <v>54</v>
      </c>
      <c r="AD65" s="192">
        <f t="shared" si="12"/>
        <v>0.54</v>
      </c>
      <c r="AE65" s="192">
        <f t="shared" si="13"/>
        <v>0.36561611200000005</v>
      </c>
      <c r="AF65" s="192">
        <f t="shared" si="14"/>
        <v>0.2638285864192001</v>
      </c>
      <c r="AG65" s="192">
        <f t="shared" si="15"/>
        <v>0.3181225790512001</v>
      </c>
      <c r="AH65" s="192">
        <f t="shared" si="16"/>
        <v>0.3947374353208001</v>
      </c>
    </row>
    <row r="66" spans="15:34" ht="18">
      <c r="O66" s="126">
        <v>0.61</v>
      </c>
      <c r="P66" s="215">
        <f t="shared" si="4"/>
        <v>0.41665169799999996</v>
      </c>
      <c r="S66" s="186">
        <v>0.61</v>
      </c>
      <c r="T66" s="192">
        <f t="shared" si="17"/>
        <v>0.4448000000000003</v>
      </c>
      <c r="U66" s="186"/>
      <c r="AC66" s="186">
        <v>55</v>
      </c>
      <c r="AD66" s="192">
        <f t="shared" si="12"/>
        <v>0.55</v>
      </c>
      <c r="AE66" s="192">
        <f t="shared" si="13"/>
        <v>0.37249974999999996</v>
      </c>
      <c r="AF66" s="192">
        <f t="shared" si="14"/>
        <v>0.26879581960000004</v>
      </c>
      <c r="AG66" s="192">
        <f t="shared" si="15"/>
        <v>0.324112032475</v>
      </c>
      <c r="AH66" s="192">
        <f t="shared" si="16"/>
        <v>0.4021693550875</v>
      </c>
    </row>
    <row r="67" spans="15:34" ht="18">
      <c r="O67" s="126">
        <v>0.62</v>
      </c>
      <c r="P67" s="215">
        <f t="shared" si="4"/>
        <v>0.424533424</v>
      </c>
      <c r="S67" s="186">
        <v>0.62</v>
      </c>
      <c r="T67" s="192">
        <f t="shared" si="17"/>
        <v>0.45160000000000033</v>
      </c>
      <c r="U67" s="186"/>
      <c r="AC67" s="186">
        <v>56</v>
      </c>
      <c r="AD67" s="192">
        <f t="shared" si="12"/>
        <v>0.56</v>
      </c>
      <c r="AE67" s="192">
        <f t="shared" si="13"/>
        <v>0.379510528</v>
      </c>
      <c r="AF67" s="192">
        <f t="shared" si="14"/>
        <v>0.27385479700480003</v>
      </c>
      <c r="AG67" s="192">
        <f t="shared" si="15"/>
        <v>0.3302121104128001</v>
      </c>
      <c r="AH67" s="192">
        <f t="shared" si="16"/>
        <v>0.40973854155520006</v>
      </c>
    </row>
    <row r="68" spans="15:34" ht="18">
      <c r="O68" s="126">
        <v>0.63</v>
      </c>
      <c r="P68" s="215">
        <f t="shared" si="4"/>
        <v>0.43257832599999996</v>
      </c>
      <c r="S68" s="186">
        <v>0.63</v>
      </c>
      <c r="T68" s="192">
        <f t="shared" si="17"/>
        <v>0.45840000000000036</v>
      </c>
      <c r="U68" s="186"/>
      <c r="AC68" s="186">
        <v>57</v>
      </c>
      <c r="AD68" s="192">
        <f t="shared" si="12"/>
        <v>0.57</v>
      </c>
      <c r="AE68" s="192">
        <f t="shared" si="13"/>
        <v>0.38665359399999993</v>
      </c>
      <c r="AF68" s="192">
        <f t="shared" si="14"/>
        <v>0.27900923343039996</v>
      </c>
      <c r="AG68" s="192">
        <f t="shared" si="15"/>
        <v>0.3364272921394</v>
      </c>
      <c r="AH68" s="192">
        <f t="shared" si="16"/>
        <v>0.41745055276209997</v>
      </c>
    </row>
    <row r="69" spans="15:34" ht="18">
      <c r="O69" s="126">
        <v>0.64</v>
      </c>
      <c r="P69" s="215">
        <f aca="true" t="shared" si="18" ref="P69:P105">0.858*O69^3-0.78*O69^2+0.774*O69+0.04</f>
        <v>0.440791552</v>
      </c>
      <c r="S69" s="186">
        <v>0.64</v>
      </c>
      <c r="T69" s="192">
        <f t="shared" si="17"/>
        <v>0.4652000000000004</v>
      </c>
      <c r="U69" s="186"/>
      <c r="AC69" s="186">
        <v>58</v>
      </c>
      <c r="AD69" s="192">
        <f t="shared" si="12"/>
        <v>0.58</v>
      </c>
      <c r="AE69" s="192">
        <f t="shared" si="13"/>
        <v>0.3939340959999999</v>
      </c>
      <c r="AF69" s="192">
        <f t="shared" si="14"/>
        <v>0.2842628436736</v>
      </c>
      <c r="AG69" s="192">
        <f t="shared" si="15"/>
        <v>0.34276205692959993</v>
      </c>
      <c r="AH69" s="192">
        <f t="shared" si="16"/>
        <v>0.4253109467463999</v>
      </c>
    </row>
    <row r="70" spans="15:34" ht="18">
      <c r="O70" s="126">
        <v>0.65</v>
      </c>
      <c r="P70" s="215">
        <f t="shared" si="18"/>
        <v>0.44917824999999995</v>
      </c>
      <c r="S70" s="186">
        <v>0.65</v>
      </c>
      <c r="T70" s="192">
        <f t="shared" si="17"/>
        <v>0.4720000000000004</v>
      </c>
      <c r="U70" s="186"/>
      <c r="AC70" s="186">
        <v>59</v>
      </c>
      <c r="AD70" s="192">
        <f t="shared" si="12"/>
        <v>0.59</v>
      </c>
      <c r="AE70" s="192">
        <f t="shared" si="13"/>
        <v>0.401357182</v>
      </c>
      <c r="AF70" s="192">
        <f t="shared" si="14"/>
        <v>0.28961934253120003</v>
      </c>
      <c r="AG70" s="192">
        <f t="shared" si="15"/>
        <v>0.3492208840582</v>
      </c>
      <c r="AH70" s="192">
        <f t="shared" si="16"/>
        <v>0.43332528154630007</v>
      </c>
    </row>
    <row r="71" spans="15:34" ht="18">
      <c r="O71" s="126">
        <v>0.66</v>
      </c>
      <c r="P71" s="215">
        <f t="shared" si="18"/>
        <v>0.457743568</v>
      </c>
      <c r="S71" s="186">
        <v>0.66</v>
      </c>
      <c r="T71" s="192">
        <f t="shared" si="17"/>
        <v>0.47880000000000045</v>
      </c>
      <c r="U71" s="186"/>
      <c r="AC71" s="186">
        <v>60</v>
      </c>
      <c r="AD71" s="192">
        <f t="shared" si="12"/>
        <v>0.6</v>
      </c>
      <c r="AE71" s="192">
        <f t="shared" si="13"/>
        <v>0.40892799999999996</v>
      </c>
      <c r="AF71" s="192">
        <f t="shared" si="14"/>
        <v>0.2950824448</v>
      </c>
      <c r="AG71" s="192">
        <f t="shared" si="15"/>
        <v>0.35580825280000006</v>
      </c>
      <c r="AH71" s="192">
        <f t="shared" si="16"/>
        <v>0.4414991152</v>
      </c>
    </row>
    <row r="72" spans="15:34" ht="18">
      <c r="O72" s="126">
        <v>0.67</v>
      </c>
      <c r="P72" s="215">
        <f t="shared" si="18"/>
        <v>0.466492654</v>
      </c>
      <c r="S72" s="186">
        <v>0.67</v>
      </c>
      <c r="T72" s="192">
        <f t="shared" si="17"/>
        <v>0.4856000000000005</v>
      </c>
      <c r="U72" s="186"/>
      <c r="AC72" s="186">
        <v>61</v>
      </c>
      <c r="AD72" s="192">
        <f t="shared" si="12"/>
        <v>0.61</v>
      </c>
      <c r="AE72" s="192">
        <f t="shared" si="13"/>
        <v>0.41665169799999996</v>
      </c>
      <c r="AF72" s="192">
        <f t="shared" si="14"/>
        <v>0.3006558652768</v>
      </c>
      <c r="AG72" s="192">
        <f t="shared" si="15"/>
        <v>0.36252864242980004</v>
      </c>
      <c r="AH72" s="192">
        <f t="shared" si="16"/>
        <v>0.4498380057457</v>
      </c>
    </row>
    <row r="73" spans="15:34" ht="18">
      <c r="O73" s="126">
        <v>0.68</v>
      </c>
      <c r="P73" s="215">
        <f t="shared" si="18"/>
        <v>0.47543065599999995</v>
      </c>
      <c r="S73" s="186">
        <v>0.68</v>
      </c>
      <c r="T73" s="192">
        <f t="shared" si="17"/>
        <v>0.4924000000000005</v>
      </c>
      <c r="U73" s="186"/>
      <c r="AC73" s="186">
        <v>62</v>
      </c>
      <c r="AD73" s="192">
        <f t="shared" si="12"/>
        <v>0.62</v>
      </c>
      <c r="AE73" s="192">
        <f t="shared" si="13"/>
        <v>0.424533424</v>
      </c>
      <c r="AF73" s="192">
        <f t="shared" si="14"/>
        <v>0.3063433187584</v>
      </c>
      <c r="AG73" s="192">
        <f t="shared" si="15"/>
        <v>0.36938653222240003</v>
      </c>
      <c r="AH73" s="192">
        <f t="shared" si="16"/>
        <v>0.45834751122160006</v>
      </c>
    </row>
    <row r="74" spans="15:34" ht="18">
      <c r="O74" s="136">
        <v>0.69</v>
      </c>
      <c r="P74" s="216">
        <f t="shared" si="18"/>
        <v>0.48456272199999995</v>
      </c>
      <c r="S74" s="186">
        <v>0.69</v>
      </c>
      <c r="T74" s="192">
        <f t="shared" si="17"/>
        <v>0.49920000000000053</v>
      </c>
      <c r="U74" s="186"/>
      <c r="AC74" s="186">
        <v>63</v>
      </c>
      <c r="AD74" s="192">
        <f t="shared" si="12"/>
        <v>0.63</v>
      </c>
      <c r="AE74" s="192">
        <f t="shared" si="13"/>
        <v>0.43257832599999996</v>
      </c>
      <c r="AF74" s="192">
        <f t="shared" si="14"/>
        <v>0.3121485200416</v>
      </c>
      <c r="AG74" s="192">
        <f t="shared" si="15"/>
        <v>0.37638640145260005</v>
      </c>
      <c r="AH74" s="192">
        <f t="shared" si="16"/>
        <v>0.4670331896659</v>
      </c>
    </row>
    <row r="75" spans="15:34" ht="18">
      <c r="O75" s="126">
        <v>0.7</v>
      </c>
      <c r="P75" s="215">
        <f t="shared" si="18"/>
        <v>0.4938939999999999</v>
      </c>
      <c r="S75" s="186">
        <v>0.7</v>
      </c>
      <c r="T75" s="192">
        <f t="shared" si="17"/>
        <v>0.5060000000000006</v>
      </c>
      <c r="U75" s="186"/>
      <c r="AC75" s="186">
        <v>64</v>
      </c>
      <c r="AD75" s="192">
        <f t="shared" si="12"/>
        <v>0.64</v>
      </c>
      <c r="AE75" s="192">
        <f t="shared" si="13"/>
        <v>0.440791552</v>
      </c>
      <c r="AF75" s="192">
        <f t="shared" si="14"/>
        <v>0.3180751839232</v>
      </c>
      <c r="AG75" s="192">
        <f t="shared" si="15"/>
        <v>0.38353272939520006</v>
      </c>
      <c r="AH75" s="192">
        <f t="shared" si="16"/>
        <v>0.47590059911680005</v>
      </c>
    </row>
    <row r="76" spans="15:34" ht="18">
      <c r="O76" s="126">
        <v>0.71</v>
      </c>
      <c r="P76" s="215">
        <f t="shared" si="18"/>
        <v>0.5034296380000001</v>
      </c>
      <c r="S76" s="186">
        <v>0.71</v>
      </c>
      <c r="T76" s="192">
        <f t="shared" si="17"/>
        <v>0.5128000000000006</v>
      </c>
      <c r="U76" s="186"/>
      <c r="AC76" s="186">
        <v>65</v>
      </c>
      <c r="AD76" s="192">
        <f t="shared" si="12"/>
        <v>0.65</v>
      </c>
      <c r="AE76" s="192">
        <f t="shared" si="13"/>
        <v>0.44917824999999995</v>
      </c>
      <c r="AF76" s="192">
        <f t="shared" si="14"/>
        <v>0.32412702520000003</v>
      </c>
      <c r="AG76" s="192">
        <f t="shared" si="15"/>
        <v>0.390829995325</v>
      </c>
      <c r="AH76" s="192">
        <f t="shared" si="16"/>
        <v>0.4849552976125</v>
      </c>
    </row>
    <row r="77" spans="15:34" ht="18">
      <c r="O77" s="126">
        <v>0.72</v>
      </c>
      <c r="P77" s="215">
        <f t="shared" si="18"/>
        <v>0.5131747839999999</v>
      </c>
      <c r="S77" s="186">
        <v>0.72</v>
      </c>
      <c r="T77" s="192">
        <f t="shared" si="17"/>
        <v>0.5196000000000006</v>
      </c>
      <c r="U77" s="186"/>
      <c r="AC77" s="186">
        <v>66</v>
      </c>
      <c r="AD77" s="192">
        <f t="shared" si="12"/>
        <v>0.66</v>
      </c>
      <c r="AE77" s="192">
        <f t="shared" si="13"/>
        <v>0.457743568</v>
      </c>
      <c r="AF77" s="192">
        <f t="shared" si="14"/>
        <v>0.3303077586688</v>
      </c>
      <c r="AG77" s="192">
        <f t="shared" si="15"/>
        <v>0.39828267851680005</v>
      </c>
      <c r="AH77" s="192">
        <f t="shared" si="16"/>
        <v>0.49420284319120006</v>
      </c>
    </row>
    <row r="78" spans="15:34" ht="18">
      <c r="O78" s="126">
        <v>0.73</v>
      </c>
      <c r="P78" s="215">
        <f t="shared" si="18"/>
        <v>0.523134586</v>
      </c>
      <c r="S78">
        <v>0.73</v>
      </c>
      <c r="T78" s="192">
        <f t="shared" si="17"/>
        <v>0.5264000000000006</v>
      </c>
      <c r="AC78" s="186">
        <v>67</v>
      </c>
      <c r="AD78" s="192">
        <f t="shared" si="12"/>
        <v>0.67</v>
      </c>
      <c r="AE78" s="192">
        <f t="shared" si="13"/>
        <v>0.466492654</v>
      </c>
      <c r="AF78" s="192">
        <f t="shared" si="14"/>
        <v>0.33662109912640004</v>
      </c>
      <c r="AG78" s="192">
        <f t="shared" si="15"/>
        <v>0.4058952582454</v>
      </c>
      <c r="AH78" s="192">
        <f t="shared" si="16"/>
        <v>0.5036487938911001</v>
      </c>
    </row>
    <row r="79" spans="15:34" ht="18">
      <c r="O79" s="126">
        <v>0.74</v>
      </c>
      <c r="P79" s="215">
        <f t="shared" si="18"/>
        <v>0.533314192</v>
      </c>
      <c r="S79">
        <v>0.74</v>
      </c>
      <c r="T79" s="192">
        <f t="shared" si="17"/>
        <v>0.5332000000000007</v>
      </c>
      <c r="AC79" s="186">
        <v>68</v>
      </c>
      <c r="AD79" s="192">
        <f t="shared" si="12"/>
        <v>0.68</v>
      </c>
      <c r="AE79" s="192">
        <f t="shared" si="13"/>
        <v>0.47543065599999995</v>
      </c>
      <c r="AF79" s="192">
        <f t="shared" si="14"/>
        <v>0.3430707613696</v>
      </c>
      <c r="AG79" s="192">
        <f t="shared" si="15"/>
        <v>0.4136722137856</v>
      </c>
      <c r="AH79" s="192">
        <f t="shared" si="16"/>
        <v>0.5132987077504</v>
      </c>
    </row>
    <row r="80" spans="15:34" ht="18">
      <c r="O80" s="126">
        <v>0.75</v>
      </c>
      <c r="P80" s="215">
        <f t="shared" si="18"/>
        <v>0.54371875</v>
      </c>
      <c r="S80">
        <v>0.75</v>
      </c>
      <c r="T80" s="185">
        <v>0.54</v>
      </c>
      <c r="U80" t="s">
        <v>158</v>
      </c>
      <c r="AC80" s="186">
        <v>69</v>
      </c>
      <c r="AD80" s="192">
        <f t="shared" si="12"/>
        <v>0.69</v>
      </c>
      <c r="AE80" s="192">
        <f t="shared" si="13"/>
        <v>0.48456272199999995</v>
      </c>
      <c r="AF80" s="192">
        <f t="shared" si="14"/>
        <v>0.34966046019520003</v>
      </c>
      <c r="AG80" s="192">
        <f t="shared" si="15"/>
        <v>0.42161802441220003</v>
      </c>
      <c r="AH80" s="192">
        <f t="shared" si="16"/>
        <v>0.5231581428073</v>
      </c>
    </row>
    <row r="81" spans="15:34" ht="18">
      <c r="O81" s="126">
        <v>0.76</v>
      </c>
      <c r="P81" s="215">
        <f t="shared" si="18"/>
        <v>0.554353408</v>
      </c>
      <c r="S81">
        <v>0.76</v>
      </c>
      <c r="T81" s="185">
        <f>T80+$U$81</f>
        <v>0.5476000000000001</v>
      </c>
      <c r="U81">
        <f>(T105-T80)/25</f>
        <v>0.007599999999999998</v>
      </c>
      <c r="AC81" s="186">
        <v>70</v>
      </c>
      <c r="AD81" s="192">
        <f t="shared" si="12"/>
        <v>0.7</v>
      </c>
      <c r="AE81" s="192">
        <f t="shared" si="13"/>
        <v>0.4938939999999999</v>
      </c>
      <c r="AF81" s="192">
        <f t="shared" si="14"/>
        <v>0.35639391039999996</v>
      </c>
      <c r="AG81" s="192">
        <f t="shared" si="15"/>
        <v>0.42973716939999995</v>
      </c>
      <c r="AH81" s="192">
        <f t="shared" si="16"/>
        <v>0.5332326571</v>
      </c>
    </row>
    <row r="82" spans="15:34" ht="18">
      <c r="O82" s="126">
        <v>0.77</v>
      </c>
      <c r="P82" s="215">
        <f t="shared" si="18"/>
        <v>0.5652233140000001</v>
      </c>
      <c r="S82">
        <v>0.77</v>
      </c>
      <c r="T82" s="185">
        <f aca="true" t="shared" si="19" ref="T82:T104">T81+$U$81</f>
        <v>0.5552000000000001</v>
      </c>
      <c r="AC82" s="186">
        <v>71</v>
      </c>
      <c r="AD82" s="192">
        <f t="shared" si="12"/>
        <v>0.71</v>
      </c>
      <c r="AE82" s="192">
        <f t="shared" si="13"/>
        <v>0.5034296380000001</v>
      </c>
      <c r="AF82" s="192">
        <f t="shared" si="14"/>
        <v>0.3632748267808001</v>
      </c>
      <c r="AG82" s="192">
        <f t="shared" si="15"/>
        <v>0.43803412802380015</v>
      </c>
      <c r="AH82" s="192">
        <f t="shared" si="16"/>
        <v>0.5435278086667001</v>
      </c>
    </row>
    <row r="83" spans="15:34" ht="18">
      <c r="O83" s="126">
        <v>0.78</v>
      </c>
      <c r="P83" s="215">
        <f t="shared" si="18"/>
        <v>0.5763336160000001</v>
      </c>
      <c r="S83">
        <v>0.78</v>
      </c>
      <c r="T83" s="185">
        <f t="shared" si="19"/>
        <v>0.5628000000000002</v>
      </c>
      <c r="AC83" s="186">
        <v>72</v>
      </c>
      <c r="AD83" s="192">
        <f t="shared" si="12"/>
        <v>0.72</v>
      </c>
      <c r="AE83" s="192">
        <f t="shared" si="13"/>
        <v>0.5131747839999999</v>
      </c>
      <c r="AF83" s="192">
        <f t="shared" si="14"/>
        <v>0.37030692413440003</v>
      </c>
      <c r="AG83" s="192">
        <f t="shared" si="15"/>
        <v>0.44651337955840004</v>
      </c>
      <c r="AH83" s="192">
        <f t="shared" si="16"/>
        <v>0.5540491555456001</v>
      </c>
    </row>
    <row r="84" spans="15:34" ht="18">
      <c r="O84" s="136">
        <v>0.79</v>
      </c>
      <c r="P84" s="216">
        <f t="shared" si="18"/>
        <v>0.5876894619999999</v>
      </c>
      <c r="S84">
        <v>0.79</v>
      </c>
      <c r="T84" s="185">
        <f t="shared" si="19"/>
        <v>0.5704000000000002</v>
      </c>
      <c r="AC84" s="186">
        <v>73</v>
      </c>
      <c r="AD84" s="192">
        <f t="shared" si="12"/>
        <v>0.73</v>
      </c>
      <c r="AE84" s="192">
        <f t="shared" si="13"/>
        <v>0.523134586</v>
      </c>
      <c r="AF84" s="192">
        <f t="shared" si="14"/>
        <v>0.37749391725760006</v>
      </c>
      <c r="AG84" s="192">
        <f t="shared" si="15"/>
        <v>0.4551794032786</v>
      </c>
      <c r="AH84" s="192">
        <f t="shared" si="16"/>
        <v>0.5648022557749001</v>
      </c>
    </row>
    <row r="85" spans="15:34" ht="18">
      <c r="O85" s="126">
        <v>0.8</v>
      </c>
      <c r="P85" s="215">
        <f t="shared" si="18"/>
        <v>0.599296</v>
      </c>
      <c r="S85">
        <v>0.8</v>
      </c>
      <c r="T85" s="185">
        <f t="shared" si="19"/>
        <v>0.5780000000000003</v>
      </c>
      <c r="AC85" s="186">
        <v>74</v>
      </c>
      <c r="AD85" s="192">
        <f t="shared" si="12"/>
        <v>0.74</v>
      </c>
      <c r="AE85" s="192">
        <f t="shared" si="13"/>
        <v>0.533314192</v>
      </c>
      <c r="AF85" s="192">
        <f t="shared" si="14"/>
        <v>0.38483952094720003</v>
      </c>
      <c r="AG85" s="192">
        <f t="shared" si="15"/>
        <v>0.4640366784592</v>
      </c>
      <c r="AH85" s="192">
        <f t="shared" si="16"/>
        <v>0.5757926673928</v>
      </c>
    </row>
    <row r="86" spans="15:34" ht="18">
      <c r="O86" s="126">
        <v>0.81</v>
      </c>
      <c r="P86" s="215">
        <f t="shared" si="18"/>
        <v>0.6111583780000001</v>
      </c>
      <c r="S86">
        <v>0.81</v>
      </c>
      <c r="T86" s="185">
        <f t="shared" si="19"/>
        <v>0.5856000000000003</v>
      </c>
      <c r="AC86" s="186">
        <v>75</v>
      </c>
      <c r="AD86" s="192">
        <f t="shared" si="12"/>
        <v>0.75</v>
      </c>
      <c r="AE86" s="192">
        <f t="shared" si="13"/>
        <v>0.54371875</v>
      </c>
      <c r="AF86" s="192">
        <f t="shared" si="14"/>
        <v>0.3923474500000001</v>
      </c>
      <c r="AG86" s="192">
        <f t="shared" si="15"/>
        <v>0.4730896843750001</v>
      </c>
      <c r="AH86" s="192">
        <f t="shared" si="16"/>
        <v>0.5870259484375001</v>
      </c>
    </row>
    <row r="87" spans="15:34" ht="18">
      <c r="O87" s="126">
        <v>0.82</v>
      </c>
      <c r="P87" s="215">
        <f t="shared" si="18"/>
        <v>0.623281744</v>
      </c>
      <c r="S87">
        <v>0.820000000000001</v>
      </c>
      <c r="T87" s="185">
        <f t="shared" si="19"/>
        <v>0.5932000000000004</v>
      </c>
      <c r="AC87" s="186">
        <v>76</v>
      </c>
      <c r="AD87" s="192">
        <f t="shared" si="12"/>
        <v>0.76</v>
      </c>
      <c r="AE87" s="192">
        <f t="shared" si="13"/>
        <v>0.554353408</v>
      </c>
      <c r="AF87" s="192">
        <f t="shared" si="14"/>
        <v>0.40002141921280004</v>
      </c>
      <c r="AG87" s="192">
        <f t="shared" si="15"/>
        <v>0.48234290030080007</v>
      </c>
      <c r="AH87" s="192">
        <f t="shared" si="16"/>
        <v>0.5985076569472001</v>
      </c>
    </row>
    <row r="88" spans="15:34" ht="18">
      <c r="O88" s="126">
        <v>0.83</v>
      </c>
      <c r="P88" s="215">
        <f t="shared" si="18"/>
        <v>0.635671246</v>
      </c>
      <c r="S88">
        <v>0.830000000000001</v>
      </c>
      <c r="T88" s="185">
        <f t="shared" si="19"/>
        <v>0.6008000000000004</v>
      </c>
      <c r="AC88" s="186">
        <v>77</v>
      </c>
      <c r="AD88" s="192">
        <f t="shared" si="12"/>
        <v>0.77</v>
      </c>
      <c r="AE88" s="192">
        <f t="shared" si="13"/>
        <v>0.5652233140000001</v>
      </c>
      <c r="AF88" s="192">
        <f t="shared" si="14"/>
        <v>0.40786514338240015</v>
      </c>
      <c r="AG88" s="192">
        <f t="shared" si="15"/>
        <v>0.4918008055114002</v>
      </c>
      <c r="AH88" s="192">
        <f t="shared" si="16"/>
        <v>0.6102433509601002</v>
      </c>
    </row>
    <row r="89" spans="15:34" ht="18">
      <c r="O89" s="126">
        <v>0.84</v>
      </c>
      <c r="P89" s="215">
        <f t="shared" si="18"/>
        <v>0.6483320319999999</v>
      </c>
      <c r="S89">
        <v>0.840000000000001</v>
      </c>
      <c r="T89" s="185">
        <f t="shared" si="19"/>
        <v>0.6084000000000005</v>
      </c>
      <c r="AC89" s="186">
        <v>78</v>
      </c>
      <c r="AD89" s="192">
        <f t="shared" si="12"/>
        <v>0.78</v>
      </c>
      <c r="AE89" s="192">
        <f t="shared" si="13"/>
        <v>0.5763336160000001</v>
      </c>
      <c r="AF89" s="192">
        <f t="shared" si="14"/>
        <v>0.4158823373056001</v>
      </c>
      <c r="AG89" s="192">
        <f t="shared" si="15"/>
        <v>0.5014678792816002</v>
      </c>
      <c r="AH89" s="192">
        <f t="shared" si="16"/>
        <v>0.6222385885144003</v>
      </c>
    </row>
    <row r="90" spans="15:34" ht="18">
      <c r="O90" s="126">
        <v>0.85</v>
      </c>
      <c r="P90" s="215">
        <f t="shared" si="18"/>
        <v>0.66126925</v>
      </c>
      <c r="S90">
        <v>0.850000000000001</v>
      </c>
      <c r="T90" s="185">
        <f t="shared" si="19"/>
        <v>0.6160000000000005</v>
      </c>
      <c r="AC90" s="186">
        <v>79</v>
      </c>
      <c r="AD90" s="192">
        <f t="shared" si="12"/>
        <v>0.79</v>
      </c>
      <c r="AE90" s="192">
        <f t="shared" si="13"/>
        <v>0.5876894619999999</v>
      </c>
      <c r="AF90" s="192">
        <f t="shared" si="14"/>
        <v>0.42407671577920003</v>
      </c>
      <c r="AG90" s="192">
        <f t="shared" si="15"/>
        <v>0.5113486008862</v>
      </c>
      <c r="AH90" s="192">
        <f t="shared" si="16"/>
        <v>0.6344989276483001</v>
      </c>
    </row>
    <row r="91" spans="15:34" ht="18">
      <c r="O91" s="126">
        <v>0.86</v>
      </c>
      <c r="P91" s="215">
        <f t="shared" si="18"/>
        <v>0.6744880480000001</v>
      </c>
      <c r="S91">
        <v>0.860000000000001</v>
      </c>
      <c r="T91" s="185">
        <f t="shared" si="19"/>
        <v>0.6236000000000006</v>
      </c>
      <c r="AC91" s="186">
        <v>80</v>
      </c>
      <c r="AD91" s="192">
        <f t="shared" si="12"/>
        <v>0.8</v>
      </c>
      <c r="AE91" s="192">
        <f t="shared" si="13"/>
        <v>0.599296</v>
      </c>
      <c r="AF91" s="192">
        <f t="shared" si="14"/>
        <v>0.4324519936000001</v>
      </c>
      <c r="AG91" s="192">
        <f t="shared" si="15"/>
        <v>0.5214474496000001</v>
      </c>
      <c r="AH91" s="192">
        <f t="shared" si="16"/>
        <v>0.6470299264000001</v>
      </c>
    </row>
    <row r="92" spans="15:34" ht="18">
      <c r="O92" s="126">
        <v>0.87</v>
      </c>
      <c r="P92" s="215">
        <f t="shared" si="18"/>
        <v>0.6879935739999999</v>
      </c>
      <c r="S92">
        <v>0.870000000000001</v>
      </c>
      <c r="T92" s="185">
        <f t="shared" si="19"/>
        <v>0.6312000000000006</v>
      </c>
      <c r="AC92" s="186">
        <v>81</v>
      </c>
      <c r="AD92" s="192">
        <f t="shared" si="12"/>
        <v>0.81</v>
      </c>
      <c r="AE92" s="192">
        <f t="shared" si="13"/>
        <v>0.6111583780000001</v>
      </c>
      <c r="AF92" s="192">
        <f t="shared" si="14"/>
        <v>0.4410118855648001</v>
      </c>
      <c r="AG92" s="192">
        <f t="shared" si="15"/>
        <v>0.5317689046978001</v>
      </c>
      <c r="AH92" s="192">
        <f t="shared" si="16"/>
        <v>0.6598371428077001</v>
      </c>
    </row>
    <row r="93" spans="15:34" ht="33" customHeight="1">
      <c r="O93" s="126">
        <v>0.88</v>
      </c>
      <c r="P93" s="215">
        <f t="shared" si="18"/>
        <v>0.7017909760000001</v>
      </c>
      <c r="S93">
        <v>0.880000000000001</v>
      </c>
      <c r="T93" s="185">
        <f t="shared" si="19"/>
        <v>0.6388000000000007</v>
      </c>
      <c r="AC93" s="186">
        <v>82</v>
      </c>
      <c r="AD93" s="192">
        <f t="shared" si="12"/>
        <v>0.82</v>
      </c>
      <c r="AE93" s="192">
        <f t="shared" si="13"/>
        <v>0.623281744</v>
      </c>
      <c r="AF93" s="192">
        <f t="shared" si="14"/>
        <v>0.4497601064704001</v>
      </c>
      <c r="AG93" s="192">
        <f t="shared" si="15"/>
        <v>0.5423174454544001</v>
      </c>
      <c r="AH93" s="192">
        <f t="shared" si="16"/>
        <v>0.6729261349096002</v>
      </c>
    </row>
    <row r="94" spans="15:34" ht="33" customHeight="1" thickBot="1">
      <c r="O94" s="127">
        <v>0.89</v>
      </c>
      <c r="P94" s="217">
        <f t="shared" si="18"/>
        <v>0.7158854020000001</v>
      </c>
      <c r="S94">
        <v>0.890000000000001</v>
      </c>
      <c r="T94" s="185">
        <f t="shared" si="19"/>
        <v>0.6464000000000008</v>
      </c>
      <c r="AC94" s="186">
        <v>83</v>
      </c>
      <c r="AD94" s="192">
        <f t="shared" si="12"/>
        <v>0.83</v>
      </c>
      <c r="AE94" s="192">
        <f t="shared" si="13"/>
        <v>0.635671246</v>
      </c>
      <c r="AF94" s="192">
        <f t="shared" si="14"/>
        <v>0.45870037111360007</v>
      </c>
      <c r="AG94" s="192">
        <f t="shared" si="15"/>
        <v>0.5530975511446</v>
      </c>
      <c r="AH94" s="192">
        <f t="shared" si="16"/>
        <v>0.6863024607439001</v>
      </c>
    </row>
    <row r="95" spans="15:34" ht="33" customHeight="1">
      <c r="O95" s="229">
        <v>0.9</v>
      </c>
      <c r="P95" s="212">
        <f t="shared" si="18"/>
        <v>0.7302820000000001</v>
      </c>
      <c r="S95">
        <v>0.900000000000001</v>
      </c>
      <c r="T95" s="185">
        <f t="shared" si="19"/>
        <v>0.6540000000000008</v>
      </c>
      <c r="AC95" s="186">
        <v>84</v>
      </c>
      <c r="AD95" s="192">
        <f t="shared" si="12"/>
        <v>0.84</v>
      </c>
      <c r="AE95" s="192">
        <f t="shared" si="13"/>
        <v>0.6483320319999999</v>
      </c>
      <c r="AF95" s="192">
        <f t="shared" si="14"/>
        <v>0.46783639429119994</v>
      </c>
      <c r="AG95" s="192">
        <f t="shared" si="15"/>
        <v>0.5641137010432</v>
      </c>
      <c r="AH95" s="192">
        <f t="shared" si="16"/>
        <v>0.6999716783488</v>
      </c>
    </row>
    <row r="96" spans="15:34" ht="33" customHeight="1">
      <c r="O96" s="229">
        <v>0.91</v>
      </c>
      <c r="P96" s="212">
        <f t="shared" si="18"/>
        <v>0.7449859180000001</v>
      </c>
      <c r="S96">
        <v>0.910000000000001</v>
      </c>
      <c r="T96" s="185">
        <f t="shared" si="19"/>
        <v>0.6616000000000009</v>
      </c>
      <c r="AC96" s="186">
        <v>85</v>
      </c>
      <c r="AD96" s="192">
        <f aca="true" t="shared" si="20" ref="AD96:AD110">AC96/100</f>
        <v>0.85</v>
      </c>
      <c r="AE96" s="192">
        <f aca="true" t="shared" si="21" ref="AE96:AE111">0.858*AD96^3-0.78*AD96^2+0.774*AD96+0.04</f>
        <v>0.66126925</v>
      </c>
      <c r="AF96" s="192">
        <f aca="true" t="shared" si="22" ref="AF96:AF111">$AE$4*AE96*$AE$7</f>
        <v>0.47717189080000005</v>
      </c>
      <c r="AG96" s="192">
        <f aca="true" t="shared" si="23" ref="AG96:AG111">$AE$5*AE96*$AE$7</f>
        <v>0.575370374425</v>
      </c>
      <c r="AH96" s="192">
        <f aca="true" t="shared" si="24" ref="AH96:AH111">$AE$6*AE96*$AE$7</f>
        <v>0.7139393457625001</v>
      </c>
    </row>
    <row r="97" spans="15:34" ht="33" customHeight="1">
      <c r="O97" s="229">
        <v>0.92</v>
      </c>
      <c r="P97" s="212">
        <f t="shared" si="18"/>
        <v>0.7600023040000001</v>
      </c>
      <c r="S97">
        <v>0.920000000000001</v>
      </c>
      <c r="T97" s="185">
        <f t="shared" si="19"/>
        <v>0.6692000000000009</v>
      </c>
      <c r="AC97" s="186">
        <v>86</v>
      </c>
      <c r="AD97" s="192">
        <f t="shared" si="20"/>
        <v>0.86</v>
      </c>
      <c r="AE97" s="192">
        <f t="shared" si="21"/>
        <v>0.6744880480000001</v>
      </c>
      <c r="AF97" s="192">
        <f t="shared" si="22"/>
        <v>0.4867105754368001</v>
      </c>
      <c r="AG97" s="192">
        <f t="shared" si="23"/>
        <v>0.5868720505648001</v>
      </c>
      <c r="AH97" s="192">
        <f t="shared" si="24"/>
        <v>0.7282110210232001</v>
      </c>
    </row>
    <row r="98" spans="15:34" ht="33" customHeight="1">
      <c r="O98" s="229">
        <v>0.93</v>
      </c>
      <c r="P98" s="212">
        <f t="shared" si="18"/>
        <v>0.7753363059999999</v>
      </c>
      <c r="S98">
        <v>0.930000000000001</v>
      </c>
      <c r="T98" s="185">
        <f t="shared" si="19"/>
        <v>0.676800000000001</v>
      </c>
      <c r="AC98" s="186">
        <v>87</v>
      </c>
      <c r="AD98" s="192">
        <f t="shared" si="20"/>
        <v>0.87</v>
      </c>
      <c r="AE98" s="192">
        <f t="shared" si="21"/>
        <v>0.6879935739999999</v>
      </c>
      <c r="AF98" s="192">
        <f t="shared" si="22"/>
        <v>0.4964561629984</v>
      </c>
      <c r="AG98" s="192">
        <f t="shared" si="23"/>
        <v>0.5986232087374</v>
      </c>
      <c r="AH98" s="192">
        <f t="shared" si="24"/>
        <v>0.7427922621691001</v>
      </c>
    </row>
    <row r="99" spans="15:34" ht="33" customHeight="1">
      <c r="O99" s="229">
        <v>0.94</v>
      </c>
      <c r="P99" s="212">
        <f t="shared" si="18"/>
        <v>0.790993072</v>
      </c>
      <c r="S99">
        <v>0.940000000000001</v>
      </c>
      <c r="T99" s="185">
        <f t="shared" si="19"/>
        <v>0.684400000000001</v>
      </c>
      <c r="AC99" s="186">
        <v>88</v>
      </c>
      <c r="AD99" s="192">
        <f t="shared" si="20"/>
        <v>0.88</v>
      </c>
      <c r="AE99" s="192">
        <f t="shared" si="21"/>
        <v>0.7017909760000001</v>
      </c>
      <c r="AF99" s="192">
        <f t="shared" si="22"/>
        <v>0.5064123682816001</v>
      </c>
      <c r="AG99" s="192">
        <f t="shared" si="23"/>
        <v>0.6106283282176002</v>
      </c>
      <c r="AH99" s="192">
        <f t="shared" si="24"/>
        <v>0.7576886272384001</v>
      </c>
    </row>
    <row r="100" spans="15:34" ht="33" customHeight="1">
      <c r="O100" s="229">
        <v>0.95</v>
      </c>
      <c r="P100" s="212">
        <f t="shared" si="18"/>
        <v>0.8069777499999999</v>
      </c>
      <c r="S100">
        <v>0.950000000000001</v>
      </c>
      <c r="T100" s="185">
        <f t="shared" si="19"/>
        <v>0.6920000000000011</v>
      </c>
      <c r="AC100" s="186">
        <v>89</v>
      </c>
      <c r="AD100" s="192">
        <f t="shared" si="20"/>
        <v>0.89</v>
      </c>
      <c r="AE100" s="192">
        <f t="shared" si="21"/>
        <v>0.7158854020000001</v>
      </c>
      <c r="AF100" s="192">
        <f t="shared" si="22"/>
        <v>0.5165829060832001</v>
      </c>
      <c r="AG100" s="192">
        <f t="shared" si="23"/>
        <v>0.6228918882802001</v>
      </c>
      <c r="AH100" s="192">
        <f t="shared" si="24"/>
        <v>0.7729056742693002</v>
      </c>
    </row>
    <row r="101" spans="15:34" ht="33" customHeight="1">
      <c r="O101" s="229">
        <v>0.96</v>
      </c>
      <c r="P101" s="212">
        <f t="shared" si="18"/>
        <v>0.823295488</v>
      </c>
      <c r="S101">
        <v>0.960000000000001</v>
      </c>
      <c r="T101" s="185">
        <f t="shared" si="19"/>
        <v>0.6996000000000011</v>
      </c>
      <c r="AC101" s="186">
        <v>90</v>
      </c>
      <c r="AD101" s="192">
        <f t="shared" si="20"/>
        <v>0.9</v>
      </c>
      <c r="AE101" s="192">
        <f t="shared" si="21"/>
        <v>0.7302820000000001</v>
      </c>
      <c r="AF101" s="192">
        <f t="shared" si="22"/>
        <v>0.5269714912000001</v>
      </c>
      <c r="AG101" s="192">
        <f t="shared" si="23"/>
        <v>0.6354183682000002</v>
      </c>
      <c r="AH101" s="192">
        <f t="shared" si="24"/>
        <v>0.7884489613000002</v>
      </c>
    </row>
    <row r="102" spans="15:34" ht="33" customHeight="1">
      <c r="O102" s="229">
        <v>0.97</v>
      </c>
      <c r="P102" s="212">
        <f t="shared" si="18"/>
        <v>0.839951434</v>
      </c>
      <c r="S102">
        <v>0.970000000000001</v>
      </c>
      <c r="T102" s="185">
        <f t="shared" si="19"/>
        <v>0.7072000000000012</v>
      </c>
      <c r="AC102" s="186">
        <v>91</v>
      </c>
      <c r="AD102" s="192">
        <f t="shared" si="20"/>
        <v>0.91</v>
      </c>
      <c r="AE102" s="192">
        <f t="shared" si="21"/>
        <v>0.7449859180000001</v>
      </c>
      <c r="AF102" s="192">
        <f t="shared" si="22"/>
        <v>0.5375818384288001</v>
      </c>
      <c r="AG102" s="192">
        <f t="shared" si="23"/>
        <v>0.6482122472518002</v>
      </c>
      <c r="AH102" s="192">
        <f t="shared" si="24"/>
        <v>0.8043240463687003</v>
      </c>
    </row>
    <row r="103" spans="15:34" ht="33" customHeight="1">
      <c r="O103" s="229">
        <v>0.98</v>
      </c>
      <c r="P103" s="212">
        <f t="shared" si="18"/>
        <v>0.8569507359999999</v>
      </c>
      <c r="S103">
        <v>0.980000000000001</v>
      </c>
      <c r="T103" s="185">
        <f t="shared" si="19"/>
        <v>0.7148000000000012</v>
      </c>
      <c r="AC103" s="186">
        <v>92</v>
      </c>
      <c r="AD103" s="192">
        <f t="shared" si="20"/>
        <v>0.92</v>
      </c>
      <c r="AE103" s="192">
        <f t="shared" si="21"/>
        <v>0.7600023040000001</v>
      </c>
      <c r="AF103" s="192">
        <f t="shared" si="22"/>
        <v>0.5484176625664002</v>
      </c>
      <c r="AG103" s="192">
        <f t="shared" si="23"/>
        <v>0.6612780047104002</v>
      </c>
      <c r="AH103" s="192">
        <f t="shared" si="24"/>
        <v>0.8205364875136002</v>
      </c>
    </row>
    <row r="104" spans="15:34" ht="33" customHeight="1">
      <c r="O104" s="229">
        <v>0.99</v>
      </c>
      <c r="P104" s="212">
        <f t="shared" si="18"/>
        <v>0.874298542</v>
      </c>
      <c r="S104">
        <v>0.990000000000001</v>
      </c>
      <c r="T104" s="185">
        <f t="shared" si="19"/>
        <v>0.7224000000000013</v>
      </c>
      <c r="AC104" s="186">
        <v>93</v>
      </c>
      <c r="AD104" s="192">
        <f t="shared" si="20"/>
        <v>0.93</v>
      </c>
      <c r="AE104" s="192">
        <f t="shared" si="21"/>
        <v>0.7753363059999999</v>
      </c>
      <c r="AF104" s="192">
        <f t="shared" si="22"/>
        <v>0.5594826784096001</v>
      </c>
      <c r="AG104" s="192">
        <f t="shared" si="23"/>
        <v>0.6746201198506</v>
      </c>
      <c r="AH104" s="192">
        <f t="shared" si="24"/>
        <v>0.8370918427729</v>
      </c>
    </row>
    <row r="105" spans="15:34" ht="33" customHeight="1" thickBot="1">
      <c r="O105" s="230">
        <v>1</v>
      </c>
      <c r="P105" s="214">
        <f t="shared" si="18"/>
        <v>0.892</v>
      </c>
      <c r="S105">
        <v>1</v>
      </c>
      <c r="T105">
        <v>0.73</v>
      </c>
      <c r="AC105" s="186">
        <v>94</v>
      </c>
      <c r="AD105" s="192">
        <f t="shared" si="20"/>
        <v>0.94</v>
      </c>
      <c r="AE105" s="192">
        <f t="shared" si="21"/>
        <v>0.790993072</v>
      </c>
      <c r="AF105" s="192">
        <f t="shared" si="22"/>
        <v>0.5707806007552001</v>
      </c>
      <c r="AG105" s="192">
        <f t="shared" si="23"/>
        <v>0.6882430719472</v>
      </c>
      <c r="AH105" s="192">
        <f t="shared" si="24"/>
        <v>0.8539956701848002</v>
      </c>
    </row>
    <row r="106" spans="29:34" ht="33" customHeight="1">
      <c r="AC106" s="186">
        <v>95</v>
      </c>
      <c r="AD106" s="192">
        <f t="shared" si="20"/>
        <v>0.95</v>
      </c>
      <c r="AE106" s="192">
        <f t="shared" si="21"/>
        <v>0.8069777499999999</v>
      </c>
      <c r="AF106" s="192">
        <f t="shared" si="22"/>
        <v>0.5823151444000001</v>
      </c>
      <c r="AG106" s="192">
        <f t="shared" si="23"/>
        <v>0.702151340275</v>
      </c>
      <c r="AH106" s="192">
        <f t="shared" si="24"/>
        <v>0.8712535277875001</v>
      </c>
    </row>
    <row r="107" spans="3:34" ht="33" customHeight="1">
      <c r="C107" s="1"/>
      <c r="AC107" s="186">
        <v>96</v>
      </c>
      <c r="AD107" s="192">
        <f t="shared" si="20"/>
        <v>0.96</v>
      </c>
      <c r="AE107" s="192">
        <f t="shared" si="21"/>
        <v>0.823295488</v>
      </c>
      <c r="AF107" s="192">
        <f t="shared" si="22"/>
        <v>0.5940900241408</v>
      </c>
      <c r="AG107" s="192">
        <f t="shared" si="23"/>
        <v>0.7163494041088001</v>
      </c>
      <c r="AH107" s="192">
        <f t="shared" si="24"/>
        <v>0.8888709736192001</v>
      </c>
    </row>
    <row r="108" spans="3:34" ht="33" customHeight="1">
      <c r="C108" s="1"/>
      <c r="AC108" s="186">
        <v>97</v>
      </c>
      <c r="AD108" s="192">
        <f t="shared" si="20"/>
        <v>0.97</v>
      </c>
      <c r="AE108" s="192">
        <f t="shared" si="21"/>
        <v>0.839951434</v>
      </c>
      <c r="AF108" s="192">
        <f t="shared" si="22"/>
        <v>0.6061089547744001</v>
      </c>
      <c r="AG108" s="192">
        <f t="shared" si="23"/>
        <v>0.7308417427234002</v>
      </c>
      <c r="AH108" s="192">
        <f t="shared" si="24"/>
        <v>0.9068535657181002</v>
      </c>
    </row>
    <row r="109" spans="3:34" ht="33" customHeight="1">
      <c r="C109" s="1"/>
      <c r="AC109" s="186">
        <v>98</v>
      </c>
      <c r="AD109" s="192">
        <f t="shared" si="20"/>
        <v>0.98</v>
      </c>
      <c r="AE109" s="192">
        <f t="shared" si="21"/>
        <v>0.8569507359999999</v>
      </c>
      <c r="AF109" s="192">
        <f t="shared" si="22"/>
        <v>0.6183756510976</v>
      </c>
      <c r="AG109" s="192">
        <f t="shared" si="23"/>
        <v>0.7456328353936</v>
      </c>
      <c r="AH109" s="192">
        <f t="shared" si="24"/>
        <v>0.9252068621224001</v>
      </c>
    </row>
    <row r="110" spans="3:34" ht="33" customHeight="1">
      <c r="C110" s="1"/>
      <c r="AC110" s="186">
        <v>99</v>
      </c>
      <c r="AD110" s="192">
        <f t="shared" si="20"/>
        <v>0.99</v>
      </c>
      <c r="AE110" s="192">
        <f t="shared" si="21"/>
        <v>0.874298542</v>
      </c>
      <c r="AF110" s="192">
        <f t="shared" si="22"/>
        <v>0.6308938279072</v>
      </c>
      <c r="AG110" s="192">
        <f t="shared" si="23"/>
        <v>0.7607271613942</v>
      </c>
      <c r="AH110" s="192">
        <f t="shared" si="24"/>
        <v>0.9439364208703002</v>
      </c>
    </row>
    <row r="111" spans="3:34" ht="33" customHeight="1">
      <c r="C111" s="1"/>
      <c r="AC111" s="186">
        <v>100</v>
      </c>
      <c r="AD111" s="192">
        <v>1</v>
      </c>
      <c r="AE111" s="192">
        <f t="shared" si="21"/>
        <v>0.892</v>
      </c>
      <c r="AF111" s="192">
        <f t="shared" si="22"/>
        <v>0.6436672000000001</v>
      </c>
      <c r="AG111" s="192">
        <f t="shared" si="23"/>
        <v>0.7761292000000002</v>
      </c>
      <c r="AH111" s="192">
        <f t="shared" si="24"/>
        <v>0.9630478000000001</v>
      </c>
    </row>
    <row r="112" ht="33" customHeight="1">
      <c r="C112" s="1"/>
    </row>
    <row r="113" ht="33" customHeight="1">
      <c r="C113" s="1"/>
    </row>
    <row r="114" ht="33" customHeight="1">
      <c r="C114" s="1"/>
    </row>
    <row r="115" ht="33" customHeight="1">
      <c r="C115" s="1"/>
    </row>
    <row r="116" ht="33" customHeight="1">
      <c r="C116" s="1"/>
    </row>
    <row r="117" ht="33" customHeight="1">
      <c r="C117" s="1"/>
    </row>
    <row r="118" ht="33" customHeight="1">
      <c r="C118" s="1"/>
    </row>
    <row r="119" ht="33" customHeight="1">
      <c r="C119" s="1"/>
    </row>
    <row r="120" ht="33" customHeight="1">
      <c r="C120" s="1"/>
    </row>
  </sheetData>
  <sheetProtection password="C9D2" sheet="1" objects="1" scenarios="1"/>
  <mergeCells count="2">
    <mergeCell ref="B1:L1"/>
    <mergeCell ref="B2:L2"/>
  </mergeCells>
  <printOptions/>
  <pageMargins left="0.75" right="0.75" top="1" bottom="1" header="0.5" footer="0.5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view="pageBreakPreview" zoomScale="90" zoomScaleSheetLayoutView="90" workbookViewId="0" topLeftCell="A1">
      <selection activeCell="B5" sqref="B5"/>
    </sheetView>
  </sheetViews>
  <sheetFormatPr defaultColWidth="9.140625" defaultRowHeight="12.75"/>
  <cols>
    <col min="1" max="1" width="10.57421875" style="0" customWidth="1"/>
    <col min="2" max="2" width="36.00390625" style="0" customWidth="1"/>
    <col min="3" max="3" width="16.28125" style="0" customWidth="1"/>
    <col min="4" max="4" width="6.7109375" style="0" customWidth="1"/>
    <col min="5" max="5" width="13.8515625" style="0" customWidth="1"/>
    <col min="6" max="6" width="6.421875" style="0" customWidth="1"/>
    <col min="7" max="7" width="8.57421875" style="0" customWidth="1"/>
    <col min="8" max="8" width="6.7109375" style="0" customWidth="1"/>
    <col min="9" max="9" width="13.28125" style="0" customWidth="1"/>
    <col min="10" max="10" width="6.8515625" style="0" customWidth="1"/>
    <col min="11" max="11" width="16.00390625" style="0" customWidth="1"/>
    <col min="12" max="12" width="5.421875" style="0" customWidth="1"/>
    <col min="13" max="13" width="8.00390625" style="0" customWidth="1"/>
    <col min="14" max="14" width="6.28125" style="0" customWidth="1"/>
  </cols>
  <sheetData>
    <row r="1" spans="1:16" ht="24.75" customHeight="1">
      <c r="A1" s="2"/>
      <c r="B1" s="259" t="s">
        <v>177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  <c r="P1" s="261"/>
    </row>
    <row r="2" spans="1:16" ht="6" customHeight="1">
      <c r="A2" s="3"/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14"/>
      <c r="N2" s="14"/>
      <c r="O2" s="14"/>
      <c r="P2" s="14"/>
    </row>
    <row r="3" spans="1:16" ht="24.75" customHeight="1">
      <c r="A3" s="3"/>
      <c r="B3" s="228" t="s">
        <v>120</v>
      </c>
      <c r="C3" s="248"/>
      <c r="D3" s="249"/>
      <c r="E3" s="249"/>
      <c r="F3" s="249"/>
      <c r="G3" s="246"/>
      <c r="H3" s="124"/>
      <c r="I3" s="124"/>
      <c r="J3" s="241" t="s">
        <v>176</v>
      </c>
      <c r="K3" s="242"/>
      <c r="L3" s="243"/>
      <c r="M3" s="14"/>
      <c r="N3" s="14"/>
      <c r="O3" s="14"/>
      <c r="P3" s="14"/>
    </row>
    <row r="4" spans="1:16" ht="21.75" customHeight="1">
      <c r="A4" s="3"/>
      <c r="B4" s="228" t="s">
        <v>150</v>
      </c>
      <c r="C4" s="269"/>
      <c r="D4" s="247"/>
      <c r="E4" s="23"/>
      <c r="F4" s="23"/>
      <c r="G4" s="231"/>
      <c r="H4" s="23"/>
      <c r="I4" s="23"/>
      <c r="J4" s="23"/>
      <c r="K4" s="24"/>
      <c r="L4" s="24"/>
      <c r="M4" s="14"/>
      <c r="N4" s="14"/>
      <c r="O4" s="128"/>
      <c r="P4" s="128"/>
    </row>
    <row r="5" spans="1:16" ht="16.5" customHeight="1">
      <c r="A5" s="3"/>
      <c r="B5" s="70" t="s">
        <v>15</v>
      </c>
      <c r="C5" s="39"/>
      <c r="D5" s="39"/>
      <c r="E5" s="39"/>
      <c r="F5" s="39"/>
      <c r="G5" s="39"/>
      <c r="H5" s="39"/>
      <c r="I5" s="39"/>
      <c r="J5" s="39"/>
      <c r="K5" s="40"/>
      <c r="L5" s="40"/>
      <c r="M5" s="38"/>
      <c r="N5" s="38"/>
      <c r="O5" s="14"/>
      <c r="P5" s="14"/>
    </row>
    <row r="6" spans="1:16" ht="7.5" customHeight="1" thickBot="1">
      <c r="A6" s="3"/>
      <c r="B6" s="23"/>
      <c r="C6" s="23"/>
      <c r="D6" s="23"/>
      <c r="E6" s="23"/>
      <c r="F6" s="23"/>
      <c r="G6" s="23"/>
      <c r="H6" s="23"/>
      <c r="I6" s="23"/>
      <c r="J6" s="23"/>
      <c r="K6" s="24"/>
      <c r="L6" s="24"/>
      <c r="M6" s="14"/>
      <c r="N6" s="14"/>
      <c r="O6" s="14"/>
      <c r="P6" s="14"/>
    </row>
    <row r="7" spans="1:16" ht="28.5" customHeight="1" thickBot="1">
      <c r="A7" s="3"/>
      <c r="B7" s="33" t="s">
        <v>121</v>
      </c>
      <c r="C7" s="83"/>
      <c r="D7" s="14"/>
      <c r="E7" s="43"/>
      <c r="F7" s="264"/>
      <c r="G7" s="265"/>
      <c r="H7" s="266"/>
      <c r="I7" s="87" t="s">
        <v>0</v>
      </c>
      <c r="J7" s="23"/>
      <c r="K7" s="35" t="s">
        <v>8</v>
      </c>
      <c r="L7" s="24"/>
      <c r="M7" s="14"/>
      <c r="N7" s="14"/>
      <c r="O7" s="14"/>
      <c r="P7" s="14"/>
    </row>
    <row r="8" spans="1:16" ht="10.5" customHeight="1" thickBot="1">
      <c r="A8" s="5"/>
      <c r="B8" s="33"/>
      <c r="C8" s="83"/>
      <c r="D8" s="14"/>
      <c r="E8" s="97"/>
      <c r="F8" s="97"/>
      <c r="G8" s="43"/>
      <c r="H8" s="35"/>
      <c r="I8" s="87"/>
      <c r="J8" s="25"/>
      <c r="K8" s="35"/>
      <c r="L8" s="69"/>
      <c r="M8" s="262" t="s">
        <v>71</v>
      </c>
      <c r="N8" s="263"/>
      <c r="O8" s="263"/>
      <c r="P8" s="14"/>
    </row>
    <row r="9" spans="1:16" ht="28.5" customHeight="1" thickBot="1">
      <c r="A9" s="5"/>
      <c r="B9" s="33" t="s">
        <v>98</v>
      </c>
      <c r="C9" s="83"/>
      <c r="D9" s="14"/>
      <c r="E9" s="43"/>
      <c r="F9" s="264"/>
      <c r="G9" s="265"/>
      <c r="H9" s="266"/>
      <c r="I9" s="87" t="s">
        <v>0</v>
      </c>
      <c r="J9" s="25"/>
      <c r="K9" s="35" t="s">
        <v>84</v>
      </c>
      <c r="L9" s="69"/>
      <c r="M9" s="263"/>
      <c r="N9" s="263"/>
      <c r="O9" s="263"/>
      <c r="P9" s="14"/>
    </row>
    <row r="10" spans="1:16" ht="10.5" customHeight="1" thickBot="1">
      <c r="A10" s="5"/>
      <c r="B10" s="33"/>
      <c r="C10" s="83"/>
      <c r="D10" s="14"/>
      <c r="E10" s="97"/>
      <c r="F10" s="97"/>
      <c r="G10" s="43"/>
      <c r="H10" s="35"/>
      <c r="I10" s="87"/>
      <c r="J10" s="25"/>
      <c r="K10" s="35"/>
      <c r="L10" s="69"/>
      <c r="M10" s="263"/>
      <c r="N10" s="263"/>
      <c r="O10" s="263"/>
      <c r="P10" s="14"/>
    </row>
    <row r="11" spans="1:16" ht="28.5" customHeight="1" thickBot="1">
      <c r="A11" s="5"/>
      <c r="B11" s="33" t="s">
        <v>116</v>
      </c>
      <c r="C11" s="124"/>
      <c r="D11" s="14"/>
      <c r="E11" s="110" t="s">
        <v>97</v>
      </c>
      <c r="F11" s="253">
        <f>Box_A-Box_AOS</f>
        <v>0</v>
      </c>
      <c r="G11" s="267"/>
      <c r="H11" s="268"/>
      <c r="I11" s="87" t="s">
        <v>0</v>
      </c>
      <c r="J11" s="25"/>
      <c r="K11" s="107" t="s">
        <v>85</v>
      </c>
      <c r="L11" s="69"/>
      <c r="M11" s="263"/>
      <c r="N11" s="263"/>
      <c r="O11" s="263"/>
      <c r="P11" s="14"/>
    </row>
    <row r="12" spans="1:16" ht="10.5" customHeight="1" thickBot="1">
      <c r="A12" s="5"/>
      <c r="B12" s="33"/>
      <c r="C12" s="124"/>
      <c r="D12" s="14"/>
      <c r="E12" s="110"/>
      <c r="F12" s="97"/>
      <c r="G12" s="43"/>
      <c r="H12" s="35"/>
      <c r="I12" s="87"/>
      <c r="J12" s="25"/>
      <c r="K12" s="107"/>
      <c r="L12" s="69"/>
      <c r="M12" s="263"/>
      <c r="N12" s="263"/>
      <c r="O12" s="263"/>
      <c r="P12" s="14"/>
    </row>
    <row r="13" spans="1:16" ht="28.5" customHeight="1" thickBot="1">
      <c r="A13" s="3"/>
      <c r="B13" s="33" t="s">
        <v>25</v>
      </c>
      <c r="C13" s="124"/>
      <c r="D13" s="14"/>
      <c r="E13" s="111" t="s">
        <v>86</v>
      </c>
      <c r="F13" s="253">
        <f>IF(Box_A=0,0,Box_AT/Box_A)</f>
        <v>0</v>
      </c>
      <c r="G13" s="267"/>
      <c r="H13" s="268"/>
      <c r="I13" s="108"/>
      <c r="J13" s="23"/>
      <c r="K13" s="109" t="s">
        <v>74</v>
      </c>
      <c r="L13" s="24"/>
      <c r="M13" s="14"/>
      <c r="N13" s="14"/>
      <c r="O13" s="14"/>
      <c r="P13" s="14"/>
    </row>
    <row r="14" spans="1:16" ht="10.5" customHeight="1">
      <c r="A14" s="5"/>
      <c r="B14" s="16"/>
      <c r="C14" s="27"/>
      <c r="D14" s="14"/>
      <c r="E14" s="25"/>
      <c r="F14" s="25"/>
      <c r="G14" s="14"/>
      <c r="H14" s="25"/>
      <c r="I14" s="37"/>
      <c r="J14" s="25"/>
      <c r="K14" s="26"/>
      <c r="L14" s="26"/>
      <c r="M14" s="14"/>
      <c r="N14" s="14"/>
      <c r="O14" s="14"/>
      <c r="P14" s="14"/>
    </row>
    <row r="15" spans="1:12" ht="14.25">
      <c r="A15" s="7"/>
      <c r="B15" s="140" t="s">
        <v>99</v>
      </c>
      <c r="C15" s="7"/>
      <c r="D15" s="9"/>
      <c r="E15" s="7"/>
      <c r="F15" s="7"/>
      <c r="G15" s="7"/>
      <c r="H15" s="7"/>
      <c r="I15" s="7"/>
      <c r="J15" s="7"/>
      <c r="K15" s="8"/>
      <c r="L15" s="8"/>
    </row>
    <row r="16" spans="1:12" ht="14.25">
      <c r="A16" s="7"/>
      <c r="B16" s="140" t="s">
        <v>100</v>
      </c>
      <c r="C16" s="7"/>
      <c r="D16" s="7"/>
      <c r="E16" s="7"/>
      <c r="F16" s="7"/>
      <c r="G16" s="7"/>
      <c r="H16" s="7"/>
      <c r="I16" s="7"/>
      <c r="J16" s="7"/>
      <c r="K16" s="8"/>
      <c r="L16" s="8"/>
    </row>
    <row r="17" ht="9.75" customHeight="1"/>
    <row r="18" ht="6.75" customHeight="1"/>
    <row r="41" spans="1:16" s="226" customFormat="1" ht="30.75" customHeight="1">
      <c r="A41" s="221"/>
      <c r="B41" s="222" t="s">
        <v>14</v>
      </c>
      <c r="C41" s="223"/>
      <c r="D41" s="223"/>
      <c r="E41" s="224"/>
      <c r="F41" s="224"/>
      <c r="G41" s="224"/>
      <c r="H41" s="224"/>
      <c r="I41" s="224"/>
      <c r="J41" s="224"/>
      <c r="K41" s="224"/>
      <c r="L41" s="224"/>
      <c r="M41" s="225"/>
      <c r="N41" s="225"/>
      <c r="O41" s="225"/>
      <c r="P41" s="225"/>
    </row>
    <row r="42" spans="1:16" ht="45">
      <c r="A42" s="6"/>
      <c r="B42" s="218" t="s">
        <v>27</v>
      </c>
      <c r="C42" s="117"/>
      <c r="D42" s="117"/>
      <c r="E42" s="218" t="s">
        <v>2</v>
      </c>
      <c r="F42" s="118"/>
      <c r="G42" s="117"/>
      <c r="H42" s="117"/>
      <c r="I42" s="218" t="s">
        <v>5</v>
      </c>
      <c r="J42" s="117"/>
      <c r="K42" s="219" t="s">
        <v>122</v>
      </c>
      <c r="L42" s="227"/>
      <c r="M42" s="227"/>
      <c r="N42" s="22"/>
      <c r="O42" s="22"/>
      <c r="P42" s="22"/>
    </row>
    <row r="43" spans="1:16" ht="21" customHeight="1" thickBot="1">
      <c r="A43" s="6"/>
      <c r="B43" s="129" t="s">
        <v>106</v>
      </c>
      <c r="C43" s="12"/>
      <c r="D43" s="12"/>
      <c r="E43" s="12"/>
      <c r="F43" s="12"/>
      <c r="G43" s="12"/>
      <c r="H43" s="12"/>
      <c r="I43" s="209"/>
      <c r="J43" s="12"/>
      <c r="K43" s="13"/>
      <c r="L43" s="13"/>
      <c r="M43" s="14"/>
      <c r="N43" s="14"/>
      <c r="O43" s="14"/>
      <c r="P43" s="14"/>
    </row>
    <row r="44" spans="1:16" ht="28.5" customHeight="1" thickBot="1">
      <c r="A44" s="6"/>
      <c r="B44" s="44" t="s">
        <v>107</v>
      </c>
      <c r="C44" s="113"/>
      <c r="D44" s="12"/>
      <c r="E44" s="244"/>
      <c r="F44" s="35"/>
      <c r="G44" s="87" t="s">
        <v>0</v>
      </c>
      <c r="H44" s="94" t="s">
        <v>3</v>
      </c>
      <c r="I44" s="244"/>
      <c r="J44" s="94" t="s">
        <v>4</v>
      </c>
      <c r="K44" s="112">
        <f>I44*E44</f>
        <v>0</v>
      </c>
      <c r="L44" s="13"/>
      <c r="M44" s="87" t="s">
        <v>0</v>
      </c>
      <c r="N44" s="87"/>
      <c r="O44" s="14"/>
      <c r="P44" s="14"/>
    </row>
    <row r="45" spans="1:16" ht="16.5" customHeight="1">
      <c r="A45" s="6"/>
      <c r="B45" s="119" t="s">
        <v>108</v>
      </c>
      <c r="C45" s="113"/>
      <c r="D45" s="12"/>
      <c r="E45" s="35"/>
      <c r="F45" s="35"/>
      <c r="G45" s="94"/>
      <c r="H45" s="82"/>
      <c r="I45" s="87"/>
      <c r="J45" s="35"/>
      <c r="K45" s="13"/>
      <c r="L45" s="13"/>
      <c r="M45" s="102"/>
      <c r="N45" s="87"/>
      <c r="O45" s="14"/>
      <c r="P45" s="14"/>
    </row>
    <row r="46" spans="1:16" ht="7.5" customHeight="1" thickBot="1">
      <c r="A46" s="6"/>
      <c r="B46" s="114"/>
      <c r="C46" s="113"/>
      <c r="D46" s="12"/>
      <c r="E46" s="35"/>
      <c r="F46" s="35"/>
      <c r="G46" s="94"/>
      <c r="H46" s="82"/>
      <c r="I46" s="87"/>
      <c r="J46" s="35"/>
      <c r="K46" s="13"/>
      <c r="L46" s="13"/>
      <c r="M46" s="102"/>
      <c r="N46" s="87"/>
      <c r="O46" s="14"/>
      <c r="P46" s="14"/>
    </row>
    <row r="47" spans="1:16" ht="28.5" customHeight="1" thickBot="1">
      <c r="A47" s="7"/>
      <c r="B47" s="33" t="s">
        <v>109</v>
      </c>
      <c r="C47" s="14"/>
      <c r="D47" s="130" t="s">
        <v>72</v>
      </c>
      <c r="E47" s="35"/>
      <c r="F47" s="35"/>
      <c r="G47" s="35"/>
      <c r="H47" s="35"/>
      <c r="I47" s="35"/>
      <c r="J47" s="35"/>
      <c r="K47" s="204">
        <f>IF(H84=0,0,L106)</f>
        <v>0</v>
      </c>
      <c r="L47" s="18"/>
      <c r="M47" s="87" t="s">
        <v>0</v>
      </c>
      <c r="N47" s="87"/>
      <c r="O47" s="14"/>
      <c r="P47" s="14"/>
    </row>
    <row r="48" spans="1:16" ht="12" customHeight="1" thickBot="1">
      <c r="A48" s="7"/>
      <c r="B48" s="119" t="s">
        <v>110</v>
      </c>
      <c r="C48" s="113"/>
      <c r="D48" s="17"/>
      <c r="E48" s="35"/>
      <c r="F48" s="35"/>
      <c r="G48" s="35"/>
      <c r="H48" s="35"/>
      <c r="I48" s="35"/>
      <c r="J48" s="35"/>
      <c r="K48" s="205"/>
      <c r="L48" s="18"/>
      <c r="M48" s="87"/>
      <c r="N48" s="87"/>
      <c r="O48" s="14"/>
      <c r="P48" s="14"/>
    </row>
    <row r="49" spans="1:16" ht="28.5" customHeight="1" thickBot="1">
      <c r="A49" s="6"/>
      <c r="B49" s="44" t="s">
        <v>111</v>
      </c>
      <c r="C49" s="113"/>
      <c r="D49" s="12"/>
      <c r="E49" s="244"/>
      <c r="F49" s="35"/>
      <c r="G49" s="87" t="s">
        <v>0</v>
      </c>
      <c r="H49" s="94"/>
      <c r="I49" s="116"/>
      <c r="J49" s="94" t="s">
        <v>4</v>
      </c>
      <c r="K49" s="204">
        <f>E49</f>
        <v>0</v>
      </c>
      <c r="L49" s="13"/>
      <c r="M49" s="87" t="s">
        <v>0</v>
      </c>
      <c r="N49" s="87"/>
      <c r="O49" s="14"/>
      <c r="P49" s="14"/>
    </row>
    <row r="50" spans="1:16" ht="15" customHeight="1" thickBot="1">
      <c r="A50" s="6"/>
      <c r="B50" s="119" t="s">
        <v>135</v>
      </c>
      <c r="C50" s="113"/>
      <c r="D50" s="12"/>
      <c r="E50" s="35"/>
      <c r="F50" s="35"/>
      <c r="G50" s="94"/>
      <c r="H50" s="35"/>
      <c r="I50" s="35"/>
      <c r="J50" s="35"/>
      <c r="K50" s="206"/>
      <c r="L50" s="13"/>
      <c r="M50" s="102"/>
      <c r="N50" s="87"/>
      <c r="O50" s="14"/>
      <c r="P50" s="14"/>
    </row>
    <row r="51" spans="1:16" ht="28.5" customHeight="1" thickBot="1">
      <c r="A51" s="6"/>
      <c r="B51" s="44" t="s">
        <v>7</v>
      </c>
      <c r="C51" s="113"/>
      <c r="D51" s="12"/>
      <c r="E51" s="244"/>
      <c r="F51" s="35"/>
      <c r="G51" s="87" t="s">
        <v>0</v>
      </c>
      <c r="H51" s="94"/>
      <c r="I51" s="116"/>
      <c r="J51" s="94" t="s">
        <v>4</v>
      </c>
      <c r="K51" s="204">
        <f>E51</f>
        <v>0</v>
      </c>
      <c r="L51" s="13"/>
      <c r="M51" s="87" t="s">
        <v>0</v>
      </c>
      <c r="N51" s="87"/>
      <c r="O51" s="14"/>
      <c r="P51" s="14"/>
    </row>
    <row r="52" spans="1:16" ht="15" customHeight="1" thickBot="1">
      <c r="A52" s="6"/>
      <c r="B52" s="119" t="s">
        <v>136</v>
      </c>
      <c r="C52" s="113"/>
      <c r="D52" s="12"/>
      <c r="E52" s="35"/>
      <c r="F52" s="35"/>
      <c r="G52" s="94"/>
      <c r="H52" s="35"/>
      <c r="I52" s="35"/>
      <c r="J52" s="35"/>
      <c r="K52" s="206"/>
      <c r="L52" s="13"/>
      <c r="M52" s="102"/>
      <c r="N52" s="87"/>
      <c r="O52" s="14"/>
      <c r="P52" s="14"/>
    </row>
    <row r="53" spans="1:16" ht="27.75" customHeight="1" thickBot="1">
      <c r="A53" s="6"/>
      <c r="B53" s="114" t="s">
        <v>26</v>
      </c>
      <c r="C53" s="113"/>
      <c r="D53" s="12"/>
      <c r="E53" s="244"/>
      <c r="F53" s="35"/>
      <c r="G53" s="87" t="s">
        <v>0</v>
      </c>
      <c r="H53" s="35"/>
      <c r="I53" s="35"/>
      <c r="J53" s="94" t="s">
        <v>4</v>
      </c>
      <c r="K53" s="204">
        <f>E53</f>
        <v>0</v>
      </c>
      <c r="L53" s="13"/>
      <c r="M53" s="87" t="s">
        <v>0</v>
      </c>
      <c r="N53" s="87"/>
      <c r="O53" s="14"/>
      <c r="P53" s="14"/>
    </row>
    <row r="54" spans="1:16" ht="11.25" customHeight="1" thickBot="1">
      <c r="A54" s="6"/>
      <c r="B54" s="119" t="s">
        <v>135</v>
      </c>
      <c r="C54" s="113"/>
      <c r="D54" s="12"/>
      <c r="E54" s="35"/>
      <c r="F54" s="35"/>
      <c r="G54" s="94"/>
      <c r="H54" s="35"/>
      <c r="I54" s="35"/>
      <c r="J54" s="35"/>
      <c r="K54" s="206"/>
      <c r="L54" s="13"/>
      <c r="M54" s="102"/>
      <c r="N54" s="87"/>
      <c r="O54" s="14"/>
      <c r="P54" s="14"/>
    </row>
    <row r="55" spans="1:16" ht="28.5" customHeight="1" thickBot="1">
      <c r="A55" s="7"/>
      <c r="B55" s="33" t="s">
        <v>45</v>
      </c>
      <c r="C55" s="130" t="s">
        <v>73</v>
      </c>
      <c r="D55" s="17"/>
      <c r="E55" s="35"/>
      <c r="F55" s="35"/>
      <c r="G55" s="35"/>
      <c r="H55" s="35"/>
      <c r="I55" s="35"/>
      <c r="J55" s="35"/>
      <c r="K55" s="204">
        <f>H139</f>
        <v>0</v>
      </c>
      <c r="L55" s="18"/>
      <c r="M55" s="87" t="s">
        <v>0</v>
      </c>
      <c r="N55" s="87"/>
      <c r="O55" s="14"/>
      <c r="P55" s="14"/>
    </row>
    <row r="56" spans="1:16" ht="13.5" customHeight="1">
      <c r="A56" s="7"/>
      <c r="B56" s="119" t="s">
        <v>135</v>
      </c>
      <c r="C56" s="113"/>
      <c r="D56" s="17"/>
      <c r="E56" s="35"/>
      <c r="F56" s="35"/>
      <c r="G56" s="35"/>
      <c r="H56" s="35"/>
      <c r="I56" s="35"/>
      <c r="J56" s="35"/>
      <c r="K56" s="205"/>
      <c r="L56" s="18"/>
      <c r="M56" s="87"/>
      <c r="N56" s="87"/>
      <c r="O56" s="14"/>
      <c r="P56" s="14"/>
    </row>
    <row r="57" spans="1:16" ht="4.5" customHeight="1" thickBot="1">
      <c r="A57" s="7"/>
      <c r="B57" s="113"/>
      <c r="C57" s="113"/>
      <c r="D57" s="17"/>
      <c r="E57" s="35"/>
      <c r="F57" s="35"/>
      <c r="G57" s="35"/>
      <c r="H57" s="35"/>
      <c r="I57" s="35"/>
      <c r="J57" s="35"/>
      <c r="K57" s="205"/>
      <c r="L57" s="18"/>
      <c r="M57" s="87"/>
      <c r="N57" s="87"/>
      <c r="O57" s="14"/>
      <c r="P57" s="14"/>
    </row>
    <row r="58" spans="1:16" ht="28.5" customHeight="1" thickBot="1" thickTop="1">
      <c r="A58" s="7"/>
      <c r="B58" s="33" t="s">
        <v>24</v>
      </c>
      <c r="C58" s="113"/>
      <c r="D58" s="17"/>
      <c r="E58" s="108"/>
      <c r="F58" s="87"/>
      <c r="G58" s="35"/>
      <c r="H58" s="35"/>
      <c r="I58" s="115" t="s">
        <v>123</v>
      </c>
      <c r="J58" s="94"/>
      <c r="K58" s="207">
        <f>K44+K47+K49+K51+K53+K55</f>
        <v>0</v>
      </c>
      <c r="L58" s="18"/>
      <c r="M58" s="87" t="s">
        <v>0</v>
      </c>
      <c r="N58" s="87"/>
      <c r="O58" s="14"/>
      <c r="P58" s="14"/>
    </row>
    <row r="59" spans="1:16" ht="5.25" customHeight="1" thickBot="1" thickTop="1">
      <c r="A59" s="7"/>
      <c r="B59" s="33"/>
      <c r="C59" s="113"/>
      <c r="D59" s="17"/>
      <c r="E59" s="43"/>
      <c r="F59" s="14"/>
      <c r="G59" s="17"/>
      <c r="H59" s="17"/>
      <c r="I59" s="36"/>
      <c r="J59" s="36"/>
      <c r="K59" s="45"/>
      <c r="L59" s="18"/>
      <c r="M59" s="14"/>
      <c r="N59" s="14"/>
      <c r="O59" s="14"/>
      <c r="P59" s="14"/>
    </row>
    <row r="60" spans="1:16" ht="28.5" customHeight="1" thickBot="1">
      <c r="A60" s="7"/>
      <c r="B60" s="33" t="s">
        <v>117</v>
      </c>
      <c r="C60" s="14"/>
      <c r="D60" s="17"/>
      <c r="E60" s="115" t="s">
        <v>124</v>
      </c>
      <c r="F60" s="253">
        <f>Box_AT-Box_EAM</f>
        <v>0</v>
      </c>
      <c r="G60" s="281"/>
      <c r="H60" s="282"/>
      <c r="I60" s="115" t="s">
        <v>101</v>
      </c>
      <c r="J60" s="36"/>
      <c r="K60" s="45"/>
      <c r="L60" s="18"/>
      <c r="M60" s="14"/>
      <c r="N60" s="14"/>
      <c r="O60" s="14"/>
      <c r="P60" s="14"/>
    </row>
    <row r="61" spans="1:16" ht="10.5" customHeight="1" thickBot="1">
      <c r="A61" s="7"/>
      <c r="B61" s="113"/>
      <c r="C61" s="14"/>
      <c r="D61" s="17"/>
      <c r="E61" s="113"/>
      <c r="F61" s="17"/>
      <c r="G61" s="14"/>
      <c r="H61" s="17"/>
      <c r="I61" s="17"/>
      <c r="J61" s="17"/>
      <c r="K61" s="18"/>
      <c r="L61" s="18"/>
      <c r="M61" s="14"/>
      <c r="N61" s="14"/>
      <c r="O61" s="14"/>
      <c r="P61" s="14"/>
    </row>
    <row r="62" spans="1:16" ht="28.5" customHeight="1" thickBot="1">
      <c r="A62" s="7"/>
      <c r="B62" s="33" t="s">
        <v>137</v>
      </c>
      <c r="C62" s="14"/>
      <c r="D62" s="17"/>
      <c r="E62" s="115" t="s">
        <v>87</v>
      </c>
      <c r="F62" s="253">
        <f>IF(Box_A=0,0,Box_AAT/Box_A)</f>
        <v>0</v>
      </c>
      <c r="G62" s="267"/>
      <c r="H62" s="268"/>
      <c r="I62" s="155" t="s">
        <v>147</v>
      </c>
      <c r="J62" s="17"/>
      <c r="K62" s="18"/>
      <c r="L62" s="18"/>
      <c r="M62" s="14"/>
      <c r="N62" s="14"/>
      <c r="O62" s="14"/>
      <c r="P62" s="14"/>
    </row>
    <row r="63" spans="1:16" ht="10.5" customHeight="1">
      <c r="A63" s="7"/>
      <c r="B63" s="17"/>
      <c r="C63" s="14"/>
      <c r="D63" s="17"/>
      <c r="E63" s="17" t="s">
        <v>12</v>
      </c>
      <c r="F63" s="17"/>
      <c r="G63" s="14"/>
      <c r="H63" s="19"/>
      <c r="I63" s="17"/>
      <c r="J63" s="17"/>
      <c r="K63" s="18"/>
      <c r="L63" s="18"/>
      <c r="M63" s="14"/>
      <c r="N63" s="14"/>
      <c r="O63" s="14"/>
      <c r="P63" s="14"/>
    </row>
    <row r="64" spans="1:16" ht="15" customHeight="1">
      <c r="A64" s="3"/>
      <c r="B64" s="33"/>
      <c r="C64" s="14"/>
      <c r="D64" s="14"/>
      <c r="E64" s="111"/>
      <c r="F64" s="300"/>
      <c r="G64" s="301"/>
      <c r="H64" s="301"/>
      <c r="I64" s="109"/>
      <c r="J64" s="23"/>
      <c r="K64" s="24"/>
      <c r="L64" s="24"/>
      <c r="M64" s="14"/>
      <c r="N64" s="14"/>
      <c r="O64" s="14"/>
      <c r="P64" s="14"/>
    </row>
    <row r="65" spans="1:14" ht="6.75" customHeight="1">
      <c r="A65" s="7"/>
      <c r="B65" s="7"/>
      <c r="C65" s="7"/>
      <c r="D65" s="7"/>
      <c r="E65" s="7"/>
      <c r="F65" s="7"/>
      <c r="G65" s="7"/>
      <c r="H65" s="9"/>
      <c r="I65" s="7"/>
      <c r="J65" s="7"/>
      <c r="K65" s="41"/>
      <c r="L65" s="41"/>
      <c r="M65" s="42"/>
      <c r="N65" s="42"/>
    </row>
    <row r="66" spans="1:13" ht="22.5" customHeight="1">
      <c r="A66" s="7"/>
      <c r="B66" s="275" t="s">
        <v>75</v>
      </c>
      <c r="C66" s="299"/>
      <c r="D66" s="299"/>
      <c r="E66" s="203"/>
      <c r="G66" s="7"/>
      <c r="H66" s="275" t="s">
        <v>76</v>
      </c>
      <c r="I66" s="276"/>
      <c r="J66" s="276"/>
      <c r="K66" s="276"/>
      <c r="L66" s="276"/>
      <c r="M66" s="276"/>
    </row>
    <row r="67" spans="1:14" ht="9" customHeight="1" thickBot="1">
      <c r="A67" s="7"/>
      <c r="B67" s="145"/>
      <c r="C67" s="145"/>
      <c r="D67" s="145"/>
      <c r="E67" s="21"/>
      <c r="F67" s="7"/>
      <c r="H67" s="297" t="s">
        <v>138</v>
      </c>
      <c r="I67" s="298"/>
      <c r="J67" s="298"/>
      <c r="K67" s="298"/>
      <c r="L67" s="298"/>
      <c r="M67" s="298"/>
      <c r="N67" s="139"/>
    </row>
    <row r="68" spans="1:14" s="133" customFormat="1" ht="35.25" customHeight="1" thickTop="1">
      <c r="A68" s="146"/>
      <c r="B68" s="150" t="s">
        <v>13</v>
      </c>
      <c r="C68" s="164" t="s">
        <v>46</v>
      </c>
      <c r="D68" s="171"/>
      <c r="E68" s="146"/>
      <c r="F68" s="146"/>
      <c r="G68" s="146"/>
      <c r="H68" s="308" t="s">
        <v>23</v>
      </c>
      <c r="I68" s="306"/>
      <c r="J68" s="309"/>
      <c r="K68" s="305" t="s">
        <v>21</v>
      </c>
      <c r="L68" s="306"/>
      <c r="M68" s="307"/>
      <c r="N68" s="151"/>
    </row>
    <row r="69" spans="1:13" ht="24" customHeight="1">
      <c r="A69" s="7"/>
      <c r="B69" s="167" t="s">
        <v>119</v>
      </c>
      <c r="C69" s="169">
        <v>0.4</v>
      </c>
      <c r="D69" s="172"/>
      <c r="E69" s="7"/>
      <c r="F69" s="7"/>
      <c r="G69" s="7"/>
      <c r="H69" s="310" t="s">
        <v>28</v>
      </c>
      <c r="I69" s="299"/>
      <c r="J69" s="311"/>
      <c r="K69" s="144">
        <v>21</v>
      </c>
      <c r="L69" s="141" t="s">
        <v>22</v>
      </c>
      <c r="M69" s="143"/>
    </row>
    <row r="70" spans="1:13" ht="38.25" customHeight="1">
      <c r="A70" s="7"/>
      <c r="B70" s="168" t="s">
        <v>118</v>
      </c>
      <c r="C70" s="170">
        <v>0.6</v>
      </c>
      <c r="D70" s="172"/>
      <c r="E70" s="7"/>
      <c r="F70" s="7"/>
      <c r="G70" s="9"/>
      <c r="H70" s="310" t="s">
        <v>29</v>
      </c>
      <c r="I70" s="299"/>
      <c r="J70" s="311"/>
      <c r="K70" s="142">
        <v>24</v>
      </c>
      <c r="L70" s="141" t="s">
        <v>22</v>
      </c>
      <c r="M70" s="143"/>
    </row>
    <row r="71" spans="1:13" ht="36">
      <c r="A71" s="7"/>
      <c r="B71" s="168" t="s">
        <v>149</v>
      </c>
      <c r="C71" s="169">
        <v>0.75</v>
      </c>
      <c r="D71" s="172"/>
      <c r="E71" s="7"/>
      <c r="F71" s="7"/>
      <c r="G71" s="7"/>
      <c r="H71" s="310" t="s">
        <v>30</v>
      </c>
      <c r="I71" s="299"/>
      <c r="J71" s="311"/>
      <c r="K71" s="142">
        <v>28</v>
      </c>
      <c r="L71" s="141" t="s">
        <v>22</v>
      </c>
      <c r="M71" s="143"/>
    </row>
    <row r="72" spans="1:13" s="133" customFormat="1" ht="18.75" thickBot="1">
      <c r="A72" s="146"/>
      <c r="B72" s="167" t="s">
        <v>6</v>
      </c>
      <c r="C72" s="169">
        <v>1</v>
      </c>
      <c r="D72" s="173"/>
      <c r="E72" s="146"/>
      <c r="F72" s="146"/>
      <c r="G72" s="146"/>
      <c r="H72" s="302" t="s">
        <v>31</v>
      </c>
      <c r="I72" s="303"/>
      <c r="J72" s="304"/>
      <c r="K72" s="148">
        <v>32</v>
      </c>
      <c r="L72" s="149" t="s">
        <v>22</v>
      </c>
      <c r="M72" s="147"/>
    </row>
    <row r="73" spans="1:13" ht="24" customHeight="1" thickTop="1">
      <c r="A73" s="7"/>
      <c r="B73" s="175"/>
      <c r="C73" s="176"/>
      <c r="D73" s="174"/>
      <c r="E73" s="7"/>
      <c r="F73" s="7"/>
      <c r="G73" s="7"/>
      <c r="H73" s="152"/>
      <c r="I73" s="152"/>
      <c r="J73" s="153"/>
      <c r="K73" s="153"/>
      <c r="L73" s="153"/>
      <c r="M73" s="15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</row>
    <row r="75" spans="1:16" ht="12.75" customHeight="1">
      <c r="A75" s="158" t="s">
        <v>77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16" ht="12.7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</row>
    <row r="77" spans="1:16" ht="14.25">
      <c r="A77" s="161" t="s">
        <v>44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</row>
    <row r="78" spans="1:16" ht="16.5" thickBo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50"/>
      <c r="L78" s="49"/>
      <c r="M78" s="49" t="s">
        <v>125</v>
      </c>
      <c r="N78" s="49"/>
      <c r="O78" s="11"/>
      <c r="P78" s="49"/>
    </row>
    <row r="79" spans="1:16" ht="9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3"/>
      <c r="M79" s="23"/>
      <c r="N79" s="23"/>
      <c r="O79" s="23"/>
      <c r="P79" s="23"/>
    </row>
    <row r="80" spans="1:16" ht="15.75">
      <c r="A80" s="33" t="s">
        <v>43</v>
      </c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3"/>
      <c r="M80" s="23"/>
      <c r="N80" s="23"/>
      <c r="O80" s="23"/>
      <c r="P80" s="23"/>
    </row>
    <row r="81" spans="1:16" ht="7.5" customHeight="1" thickBo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3"/>
      <c r="M81" s="23"/>
      <c r="N81" s="23"/>
      <c r="O81" s="23"/>
      <c r="P81" s="23"/>
    </row>
    <row r="82" spans="1:16" ht="28.5" customHeight="1" thickBot="1">
      <c r="A82" s="35" t="s">
        <v>89</v>
      </c>
      <c r="B82" s="35"/>
      <c r="C82" s="35"/>
      <c r="D82" s="35"/>
      <c r="E82" s="35"/>
      <c r="F82" s="23"/>
      <c r="G82" s="77"/>
      <c r="H82" s="251"/>
      <c r="I82" s="252"/>
      <c r="J82" s="23"/>
      <c r="K82" s="87" t="s">
        <v>0</v>
      </c>
      <c r="L82" s="101" t="s">
        <v>47</v>
      </c>
      <c r="M82" s="94"/>
      <c r="N82" s="23"/>
      <c r="O82" s="30"/>
      <c r="P82" s="23"/>
    </row>
    <row r="83" spans="1:16" ht="15" customHeight="1" thickBot="1">
      <c r="A83" s="35"/>
      <c r="B83" s="35"/>
      <c r="C83" s="35"/>
      <c r="D83" s="35"/>
      <c r="E83" s="35"/>
      <c r="F83" s="23"/>
      <c r="G83" s="23"/>
      <c r="H83" s="86"/>
      <c r="I83" s="86"/>
      <c r="J83" s="23"/>
      <c r="K83" s="35"/>
      <c r="L83" s="35"/>
      <c r="M83" s="35"/>
      <c r="N83" s="23"/>
      <c r="O83" s="23"/>
      <c r="P83" s="23"/>
    </row>
    <row r="84" spans="1:16" ht="28.5" customHeight="1" thickBot="1">
      <c r="A84" s="35" t="s">
        <v>90</v>
      </c>
      <c r="B84" s="35"/>
      <c r="C84" s="35"/>
      <c r="D84" s="35"/>
      <c r="E84" s="35"/>
      <c r="F84" s="23"/>
      <c r="G84" s="77"/>
      <c r="H84" s="251"/>
      <c r="I84" s="252"/>
      <c r="J84" s="23"/>
      <c r="K84" s="87" t="s">
        <v>0</v>
      </c>
      <c r="L84" s="35" t="s">
        <v>48</v>
      </c>
      <c r="M84" s="35"/>
      <c r="N84" s="23"/>
      <c r="O84" s="23"/>
      <c r="P84" s="23"/>
    </row>
    <row r="85" spans="1:16" ht="15" customHeight="1" thickBot="1">
      <c r="A85" s="35" t="s">
        <v>96</v>
      </c>
      <c r="B85" s="35"/>
      <c r="C85" s="35"/>
      <c r="D85" s="35"/>
      <c r="E85" s="35"/>
      <c r="F85" s="23"/>
      <c r="G85" s="23"/>
      <c r="H85" s="86"/>
      <c r="I85" s="86"/>
      <c r="J85" s="23"/>
      <c r="K85" s="35"/>
      <c r="L85" s="35"/>
      <c r="M85" s="35"/>
      <c r="N85" s="23"/>
      <c r="O85" s="23"/>
      <c r="P85" s="31"/>
    </row>
    <row r="86" spans="1:16" ht="28.5" customHeight="1" thickBot="1">
      <c r="A86" s="35" t="s">
        <v>139</v>
      </c>
      <c r="B86" s="35"/>
      <c r="C86" s="35"/>
      <c r="D86" s="35"/>
      <c r="E86" s="35"/>
      <c r="F86" s="23"/>
      <c r="G86" s="32"/>
      <c r="H86" s="253">
        <f>IF(H84=0,0,H82/H84)</f>
        <v>0</v>
      </c>
      <c r="I86" s="254"/>
      <c r="J86" s="23"/>
      <c r="K86" s="87"/>
      <c r="L86" s="35" t="s">
        <v>49</v>
      </c>
      <c r="M86" s="35"/>
      <c r="N86" s="23"/>
      <c r="O86" s="23"/>
      <c r="P86" s="31"/>
    </row>
    <row r="87" spans="1:16" ht="9.75" customHeight="1">
      <c r="A87" s="35"/>
      <c r="B87" s="35"/>
      <c r="C87" s="35"/>
      <c r="D87" s="35"/>
      <c r="E87" s="35"/>
      <c r="F87" s="23"/>
      <c r="G87" s="23"/>
      <c r="H87" s="73"/>
      <c r="I87" s="73"/>
      <c r="J87" s="23"/>
      <c r="K87" s="35"/>
      <c r="L87" s="35"/>
      <c r="M87" s="35"/>
      <c r="N87" s="23"/>
      <c r="O87" s="23"/>
      <c r="P87" s="31"/>
    </row>
    <row r="88" spans="1:16" ht="18">
      <c r="A88" s="87" t="s">
        <v>112</v>
      </c>
      <c r="B88" s="35"/>
      <c r="C88" s="35"/>
      <c r="D88" s="35"/>
      <c r="E88" s="35"/>
      <c r="F88" s="23"/>
      <c r="G88" s="23"/>
      <c r="H88" s="73"/>
      <c r="I88" s="73"/>
      <c r="J88" s="23"/>
      <c r="K88" s="35"/>
      <c r="L88" s="35"/>
      <c r="M88" s="35"/>
      <c r="N88" s="23"/>
      <c r="O88" s="23"/>
      <c r="P88" s="31"/>
    </row>
    <row r="89" spans="1:16" ht="18">
      <c r="A89" s="87"/>
      <c r="B89" s="163" t="s">
        <v>16</v>
      </c>
      <c r="C89" s="163"/>
      <c r="D89" s="163"/>
      <c r="E89" s="120" t="s">
        <v>88</v>
      </c>
      <c r="F89" s="23"/>
      <c r="G89" s="23"/>
      <c r="H89" s="97"/>
      <c r="I89" s="97"/>
      <c r="J89" s="23"/>
      <c r="K89" s="35"/>
      <c r="L89" s="35"/>
      <c r="M89" s="35"/>
      <c r="N89" s="23"/>
      <c r="O89" s="23"/>
      <c r="P89" s="31"/>
    </row>
    <row r="90" spans="1:16" ht="15.75" thickBot="1">
      <c r="A90" s="35"/>
      <c r="B90" s="35" t="s">
        <v>32</v>
      </c>
      <c r="C90" s="35"/>
      <c r="D90" s="35"/>
      <c r="E90" s="88">
        <v>1</v>
      </c>
      <c r="F90" s="23"/>
      <c r="G90" s="43"/>
      <c r="H90" s="51"/>
      <c r="I90" s="95"/>
      <c r="J90" s="23"/>
      <c r="K90" s="35"/>
      <c r="L90" s="35"/>
      <c r="M90" s="35"/>
      <c r="N90" s="23"/>
      <c r="O90" s="23"/>
      <c r="P90" s="31"/>
    </row>
    <row r="91" spans="1:16" ht="15">
      <c r="A91" s="35"/>
      <c r="B91" s="35" t="s">
        <v>81</v>
      </c>
      <c r="C91" s="35"/>
      <c r="D91" s="35"/>
      <c r="E91" s="35">
        <v>0.83</v>
      </c>
      <c r="F91" s="23"/>
      <c r="G91" s="29"/>
      <c r="H91" s="255">
        <f>IF(H86&lt;=0.5,E90,IF(H86&gt;0.5,IF(H86&lt;=1,E91,IF(H86&gt;1,IF(H86&lt;=1.5,E92,IF(H86&gt;1.5,IF(H86&lt;=2,E93,"pick an appropriate ratio")))))))</f>
        <v>1</v>
      </c>
      <c r="I91" s="256"/>
      <c r="J91" s="209"/>
      <c r="K91" s="35"/>
      <c r="L91" s="35" t="s">
        <v>50</v>
      </c>
      <c r="M91" s="87"/>
      <c r="N91" s="23"/>
      <c r="O91" s="23"/>
      <c r="P91" s="31"/>
    </row>
    <row r="92" spans="1:16" ht="15.75" thickBot="1">
      <c r="A92" s="35"/>
      <c r="B92" s="35" t="s">
        <v>82</v>
      </c>
      <c r="C92" s="35"/>
      <c r="D92" s="35"/>
      <c r="E92" s="35">
        <v>0.71</v>
      </c>
      <c r="F92" s="23"/>
      <c r="G92" s="43"/>
      <c r="H92" s="257"/>
      <c r="I92" s="258"/>
      <c r="J92" s="23"/>
      <c r="K92" s="35"/>
      <c r="L92" s="35"/>
      <c r="M92" s="35"/>
      <c r="N92" s="23"/>
      <c r="O92" s="23"/>
      <c r="P92" s="31"/>
    </row>
    <row r="93" spans="1:16" ht="18">
      <c r="A93" s="35"/>
      <c r="B93" s="35" t="s">
        <v>83</v>
      </c>
      <c r="C93" s="35"/>
      <c r="D93" s="35"/>
      <c r="E93" s="35">
        <v>0.55</v>
      </c>
      <c r="F93" s="23"/>
      <c r="G93" s="43"/>
      <c r="H93" s="73"/>
      <c r="I93" s="73"/>
      <c r="J93" s="23"/>
      <c r="K93" s="35"/>
      <c r="L93" s="35"/>
      <c r="M93" s="35"/>
      <c r="N93" s="23"/>
      <c r="O93" s="23"/>
      <c r="P93" s="31"/>
    </row>
    <row r="94" spans="1:16" ht="7.5" customHeight="1" thickBot="1">
      <c r="A94" s="35"/>
      <c r="B94" s="35"/>
      <c r="C94" s="35"/>
      <c r="D94" s="35"/>
      <c r="E94" s="35"/>
      <c r="F94" s="23"/>
      <c r="G94" s="23"/>
      <c r="H94" s="73"/>
      <c r="I94" s="73"/>
      <c r="J94" s="23"/>
      <c r="K94" s="35"/>
      <c r="L94" s="35"/>
      <c r="M94" s="35"/>
      <c r="N94" s="23"/>
      <c r="O94" s="23"/>
      <c r="P94" s="31"/>
    </row>
    <row r="95" spans="1:16" ht="28.5" customHeight="1" thickBot="1">
      <c r="A95" s="35" t="s">
        <v>172</v>
      </c>
      <c r="B95" s="35"/>
      <c r="C95" s="35"/>
      <c r="D95" s="35"/>
      <c r="E95" s="35"/>
      <c r="F95" s="23"/>
      <c r="G95" s="78"/>
      <c r="H95" s="251"/>
      <c r="I95" s="252"/>
      <c r="J95" s="209"/>
      <c r="K95" s="35"/>
      <c r="L95" s="35" t="s">
        <v>51</v>
      </c>
      <c r="M95" s="35"/>
      <c r="N95" s="23"/>
      <c r="O95" s="23"/>
      <c r="P95" s="31"/>
    </row>
    <row r="96" spans="1:16" ht="9" customHeight="1" thickBot="1">
      <c r="A96" s="35"/>
      <c r="B96" s="35"/>
      <c r="C96" s="35"/>
      <c r="D96" s="35"/>
      <c r="E96" s="35"/>
      <c r="F96" s="23"/>
      <c r="G96" s="23"/>
      <c r="H96" s="73"/>
      <c r="I96" s="73"/>
      <c r="J96" s="23"/>
      <c r="K96" s="35"/>
      <c r="L96" s="35"/>
      <c r="M96" s="35"/>
      <c r="N96" s="23"/>
      <c r="O96" s="23"/>
      <c r="P96" s="31"/>
    </row>
    <row r="97" spans="1:16" ht="36.75" thickTop="1">
      <c r="A97" s="35"/>
      <c r="B97" s="232" t="s">
        <v>13</v>
      </c>
      <c r="C97" s="233" t="s">
        <v>46</v>
      </c>
      <c r="D97" s="35"/>
      <c r="E97" s="35"/>
      <c r="F97" s="23"/>
      <c r="G97" s="23"/>
      <c r="H97" s="73"/>
      <c r="I97" s="73"/>
      <c r="J97" s="23"/>
      <c r="K97" s="35"/>
      <c r="L97" s="35"/>
      <c r="M97" s="35"/>
      <c r="N97" s="23"/>
      <c r="O97" s="23"/>
      <c r="P97" s="31"/>
    </row>
    <row r="98" spans="1:16" ht="18">
      <c r="A98" s="35"/>
      <c r="B98" s="234" t="s">
        <v>119</v>
      </c>
      <c r="C98" s="235">
        <v>0.4</v>
      </c>
      <c r="D98" s="35"/>
      <c r="E98" s="35"/>
      <c r="F98" s="23"/>
      <c r="G98" s="23"/>
      <c r="H98" s="73"/>
      <c r="I98" s="73"/>
      <c r="J98" s="23"/>
      <c r="K98" s="35"/>
      <c r="L98" s="35"/>
      <c r="M98" s="35"/>
      <c r="N98" s="23"/>
      <c r="O98" s="23"/>
      <c r="P98" s="31"/>
    </row>
    <row r="99" spans="1:16" ht="36">
      <c r="A99" s="35"/>
      <c r="B99" s="236" t="s">
        <v>174</v>
      </c>
      <c r="C99" s="237">
        <v>0.6</v>
      </c>
      <c r="D99" s="202"/>
      <c r="E99" s="35"/>
      <c r="F99" s="23"/>
      <c r="G99" s="23"/>
      <c r="H99" s="73"/>
      <c r="I99" s="73"/>
      <c r="J99" s="23"/>
      <c r="K99" s="35"/>
      <c r="L99" s="35"/>
      <c r="M99" s="35"/>
      <c r="N99" s="23"/>
      <c r="O99" s="23"/>
      <c r="P99" s="31"/>
    </row>
    <row r="100" spans="1:16" ht="36">
      <c r="A100" s="35"/>
      <c r="B100" s="236" t="s">
        <v>173</v>
      </c>
      <c r="C100" s="235">
        <v>0.75</v>
      </c>
      <c r="D100" s="35"/>
      <c r="E100" s="35"/>
      <c r="F100" s="23"/>
      <c r="G100" s="23"/>
      <c r="H100" s="73"/>
      <c r="I100" s="73"/>
      <c r="J100" s="23"/>
      <c r="K100" s="35"/>
      <c r="L100" s="35"/>
      <c r="M100" s="35"/>
      <c r="N100" s="23"/>
      <c r="O100" s="23"/>
      <c r="P100" s="31"/>
    </row>
    <row r="101" spans="1:16" ht="18.75" thickBot="1">
      <c r="A101" s="35"/>
      <c r="B101" s="238" t="s">
        <v>6</v>
      </c>
      <c r="C101" s="239">
        <v>1</v>
      </c>
      <c r="D101" s="35"/>
      <c r="E101" s="35"/>
      <c r="F101" s="23"/>
      <c r="G101" s="23"/>
      <c r="H101" s="73"/>
      <c r="I101" s="73"/>
      <c r="J101" s="23"/>
      <c r="K101" s="35"/>
      <c r="L101" s="35"/>
      <c r="M101" s="35"/>
      <c r="N101" s="23"/>
      <c r="O101" s="23"/>
      <c r="P101" s="31"/>
    </row>
    <row r="102" spans="1:16" ht="28.5" customHeight="1" thickBot="1" thickTop="1">
      <c r="A102" s="35" t="s">
        <v>113</v>
      </c>
      <c r="B102" s="35"/>
      <c r="C102" s="35"/>
      <c r="D102" s="35"/>
      <c r="E102" s="35"/>
      <c r="F102" s="23"/>
      <c r="G102" s="79"/>
      <c r="H102" s="253">
        <f>H84*H95</f>
        <v>0</v>
      </c>
      <c r="I102" s="254"/>
      <c r="J102" s="23"/>
      <c r="K102" s="87" t="s">
        <v>0</v>
      </c>
      <c r="L102" s="35" t="s">
        <v>52</v>
      </c>
      <c r="M102" s="35"/>
      <c r="N102" s="23"/>
      <c r="O102" s="23"/>
      <c r="P102" s="31"/>
    </row>
    <row r="103" spans="1:16" ht="9" customHeight="1" thickBot="1">
      <c r="A103" s="35"/>
      <c r="B103" s="35"/>
      <c r="C103" s="35"/>
      <c r="D103" s="35"/>
      <c r="E103" s="35"/>
      <c r="F103" s="23"/>
      <c r="G103" s="23"/>
      <c r="H103" s="86"/>
      <c r="I103" s="86"/>
      <c r="J103" s="23"/>
      <c r="K103" s="35"/>
      <c r="L103" s="35"/>
      <c r="M103" s="35"/>
      <c r="N103" s="23"/>
      <c r="O103" s="23"/>
      <c r="P103" s="31"/>
    </row>
    <row r="104" spans="1:16" ht="28.5" customHeight="1" thickBot="1">
      <c r="A104" s="35" t="s">
        <v>114</v>
      </c>
      <c r="B104" s="35"/>
      <c r="C104" s="35"/>
      <c r="D104" s="35"/>
      <c r="E104" s="35"/>
      <c r="F104" s="23"/>
      <c r="G104" s="79"/>
      <c r="H104" s="253">
        <f>H82*H91*H95</f>
        <v>0</v>
      </c>
      <c r="I104" s="254"/>
      <c r="J104" s="23"/>
      <c r="K104" s="87" t="s">
        <v>0</v>
      </c>
      <c r="L104" s="35" t="s">
        <v>53</v>
      </c>
      <c r="M104" s="35"/>
      <c r="N104" s="23"/>
      <c r="O104" s="23"/>
      <c r="P104" s="31"/>
    </row>
    <row r="105" spans="1:16" ht="9" customHeight="1" thickBot="1">
      <c r="A105" s="35"/>
      <c r="B105" s="35"/>
      <c r="C105" s="35"/>
      <c r="D105" s="35"/>
      <c r="E105" s="35"/>
      <c r="F105" s="23"/>
      <c r="G105" s="23"/>
      <c r="H105" s="23"/>
      <c r="I105" s="23"/>
      <c r="J105" s="23"/>
      <c r="K105" s="28"/>
      <c r="L105" s="23"/>
      <c r="M105" s="23"/>
      <c r="N105" s="23"/>
      <c r="O105" s="23"/>
      <c r="P105" s="31"/>
    </row>
    <row r="106" spans="1:16" ht="28.5" customHeight="1" thickBot="1">
      <c r="A106" s="35" t="s">
        <v>115</v>
      </c>
      <c r="B106" s="35"/>
      <c r="C106" s="35"/>
      <c r="D106" s="35"/>
      <c r="E106" s="35"/>
      <c r="F106" s="23"/>
      <c r="G106" s="23"/>
      <c r="H106" s="23"/>
      <c r="I106" s="23"/>
      <c r="J106" s="23"/>
      <c r="K106" s="14"/>
      <c r="L106" s="253">
        <f>H102+H104</f>
        <v>0</v>
      </c>
      <c r="M106" s="268"/>
      <c r="N106" s="87" t="s">
        <v>0</v>
      </c>
      <c r="O106" s="87"/>
      <c r="P106" s="101" t="s">
        <v>54</v>
      </c>
    </row>
    <row r="107" spans="1:16" ht="12.75" customHeight="1">
      <c r="A107" s="35" t="s">
        <v>126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71"/>
      <c r="L107" s="97"/>
      <c r="M107" s="97"/>
      <c r="N107" s="101"/>
      <c r="O107" s="87"/>
      <c r="P107" s="101"/>
    </row>
    <row r="108" spans="1:16" ht="9" customHeight="1" thickBo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75"/>
      <c r="L108" s="106"/>
      <c r="M108" s="106"/>
      <c r="N108" s="104"/>
      <c r="O108" s="105"/>
      <c r="P108" s="104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4"/>
      <c r="L109" s="4"/>
    </row>
    <row r="110" spans="1:16" ht="18">
      <c r="A110" s="159" t="s">
        <v>78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</row>
    <row r="111" spans="1:16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6"/>
      <c r="N111" s="10"/>
      <c r="O111" s="10"/>
      <c r="P111" s="10"/>
    </row>
    <row r="112" spans="1:16" ht="14.25">
      <c r="A112" s="103" t="s">
        <v>19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6"/>
      <c r="N112" s="10"/>
      <c r="O112" s="10"/>
      <c r="P112" s="10"/>
    </row>
    <row r="113" spans="1:16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6"/>
      <c r="N113" s="10"/>
      <c r="O113" s="10"/>
      <c r="P113" s="10"/>
    </row>
    <row r="114" spans="1:16" ht="9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14"/>
      <c r="O114" s="14"/>
      <c r="P114" s="14"/>
    </row>
    <row r="115" spans="1:16" ht="16.5" thickBot="1">
      <c r="A115" s="33" t="s">
        <v>9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14"/>
      <c r="O115" s="14"/>
      <c r="P115" s="14"/>
    </row>
    <row r="116" spans="1:16" ht="30" customHeight="1" thickBot="1">
      <c r="A116" s="107" t="s">
        <v>61</v>
      </c>
      <c r="B116" s="124"/>
      <c r="C116" s="124"/>
      <c r="D116" s="124"/>
      <c r="E116" s="124"/>
      <c r="F116" s="23"/>
      <c r="G116" s="14"/>
      <c r="H116" s="279"/>
      <c r="I116" s="280"/>
      <c r="J116" s="94" t="s">
        <v>1</v>
      </c>
      <c r="K116" s="94" t="s">
        <v>55</v>
      </c>
      <c r="L116" s="23"/>
      <c r="M116" s="34"/>
      <c r="N116" s="14"/>
      <c r="O116" s="14"/>
      <c r="P116" s="14"/>
    </row>
    <row r="117" spans="1:16" ht="9" customHeight="1" thickBot="1">
      <c r="A117" s="156"/>
      <c r="B117" s="156"/>
      <c r="C117" s="156"/>
      <c r="D117" s="156"/>
      <c r="E117" s="177"/>
      <c r="F117" s="23"/>
      <c r="G117" s="14"/>
      <c r="H117" s="97"/>
      <c r="I117" s="98"/>
      <c r="J117" s="35"/>
      <c r="K117" s="35"/>
      <c r="L117" s="23"/>
      <c r="M117" s="34"/>
      <c r="N117" s="14"/>
      <c r="O117" s="14"/>
      <c r="P117" s="14"/>
    </row>
    <row r="118" spans="1:16" ht="30" customHeight="1" thickBot="1">
      <c r="A118" s="101" t="s">
        <v>62</v>
      </c>
      <c r="B118" s="102"/>
      <c r="C118" s="102"/>
      <c r="D118" s="102"/>
      <c r="E118" s="35"/>
      <c r="F118" s="23"/>
      <c r="G118" s="14"/>
      <c r="H118" s="277">
        <f>H116*200</f>
        <v>0</v>
      </c>
      <c r="I118" s="278"/>
      <c r="J118" s="94" t="s">
        <v>17</v>
      </c>
      <c r="K118" s="94" t="s">
        <v>56</v>
      </c>
      <c r="L118" s="28"/>
      <c r="M118" s="23"/>
      <c r="N118" s="14"/>
      <c r="O118" s="14"/>
      <c r="P118" s="14"/>
    </row>
    <row r="119" spans="1:16" ht="9" customHeight="1" thickBot="1">
      <c r="A119" s="48"/>
      <c r="B119" s="48"/>
      <c r="C119" s="48"/>
      <c r="D119" s="52"/>
      <c r="E119" s="48"/>
      <c r="F119" s="48"/>
      <c r="G119" s="14"/>
      <c r="H119" s="97"/>
      <c r="I119" s="98"/>
      <c r="J119" s="95"/>
      <c r="K119" s="96"/>
      <c r="L119" s="48"/>
      <c r="M119" s="48"/>
      <c r="N119" s="51"/>
      <c r="O119" s="51"/>
      <c r="P119" s="51"/>
    </row>
    <row r="120" spans="1:16" ht="9" customHeight="1">
      <c r="A120" s="23"/>
      <c r="B120" s="23"/>
      <c r="C120" s="23"/>
      <c r="D120" s="23"/>
      <c r="E120" s="23"/>
      <c r="F120" s="23"/>
      <c r="G120" s="80"/>
      <c r="H120" s="99"/>
      <c r="I120" s="100"/>
      <c r="J120" s="35"/>
      <c r="K120" s="94"/>
      <c r="L120" s="23"/>
      <c r="M120" s="23"/>
      <c r="N120" s="14"/>
      <c r="O120" s="14"/>
      <c r="P120" s="14"/>
    </row>
    <row r="121" spans="1:16" ht="18.75" thickBot="1">
      <c r="A121" s="33" t="s">
        <v>10</v>
      </c>
      <c r="B121" s="23"/>
      <c r="C121" s="23"/>
      <c r="D121" s="23"/>
      <c r="E121" s="23"/>
      <c r="F121" s="23"/>
      <c r="G121" s="14"/>
      <c r="H121" s="97"/>
      <c r="I121" s="98"/>
      <c r="J121" s="35"/>
      <c r="K121" s="35"/>
      <c r="L121" s="28"/>
      <c r="M121" s="23"/>
      <c r="N121" s="14"/>
      <c r="O121" s="14"/>
      <c r="P121" s="14"/>
    </row>
    <row r="122" spans="1:16" ht="30" customHeight="1" thickBot="1">
      <c r="A122" s="107" t="s">
        <v>63</v>
      </c>
      <c r="B122" s="157"/>
      <c r="C122" s="157"/>
      <c r="D122" s="157"/>
      <c r="E122" s="177"/>
      <c r="F122" s="23"/>
      <c r="G122" s="14"/>
      <c r="H122" s="279"/>
      <c r="I122" s="280"/>
      <c r="J122" s="94" t="s">
        <v>1</v>
      </c>
      <c r="K122" s="94" t="s">
        <v>57</v>
      </c>
      <c r="L122" s="23"/>
      <c r="M122" s="23"/>
      <c r="N122" s="14"/>
      <c r="O122" s="14"/>
      <c r="P122" s="14"/>
    </row>
    <row r="123" spans="1:16" ht="9" customHeight="1" thickBot="1">
      <c r="A123" s="157"/>
      <c r="B123" s="157"/>
      <c r="C123" s="157"/>
      <c r="D123" s="157"/>
      <c r="E123" s="177"/>
      <c r="F123" s="23"/>
      <c r="G123" s="14"/>
      <c r="H123" s="97"/>
      <c r="I123" s="98"/>
      <c r="J123" s="35"/>
      <c r="K123" s="35"/>
      <c r="L123" s="23"/>
      <c r="M123" s="23"/>
      <c r="N123" s="14"/>
      <c r="O123" s="14"/>
      <c r="P123" s="14"/>
    </row>
    <row r="124" spans="1:16" ht="30" customHeight="1" thickBot="1">
      <c r="A124" s="35" t="s">
        <v>64</v>
      </c>
      <c r="B124" s="35"/>
      <c r="C124" s="35"/>
      <c r="D124" s="35"/>
      <c r="E124" s="35"/>
      <c r="F124" s="23"/>
      <c r="G124" s="14"/>
      <c r="H124" s="277">
        <f>H122*100</f>
        <v>0</v>
      </c>
      <c r="I124" s="278"/>
      <c r="J124" s="94" t="s">
        <v>17</v>
      </c>
      <c r="K124" s="94" t="s">
        <v>58</v>
      </c>
      <c r="L124" s="23"/>
      <c r="M124" s="23"/>
      <c r="N124" s="14"/>
      <c r="O124" s="14"/>
      <c r="P124" s="14"/>
    </row>
    <row r="125" spans="1:16" ht="9" customHeight="1" thickBot="1">
      <c r="A125" s="48"/>
      <c r="B125" s="48"/>
      <c r="C125" s="48"/>
      <c r="D125" s="52"/>
      <c r="E125" s="48"/>
      <c r="F125" s="48"/>
      <c r="G125" s="14"/>
      <c r="H125" s="97"/>
      <c r="I125" s="98"/>
      <c r="J125" s="95"/>
      <c r="K125" s="96"/>
      <c r="L125" s="48"/>
      <c r="M125" s="48"/>
      <c r="N125" s="51"/>
      <c r="O125" s="51"/>
      <c r="P125" s="51"/>
    </row>
    <row r="126" spans="1:16" ht="9" customHeight="1">
      <c r="A126" s="23"/>
      <c r="B126" s="23"/>
      <c r="C126" s="23"/>
      <c r="D126" s="23"/>
      <c r="E126" s="23"/>
      <c r="F126" s="23"/>
      <c r="G126" s="80"/>
      <c r="H126" s="99"/>
      <c r="I126" s="100"/>
      <c r="J126" s="35"/>
      <c r="K126" s="35"/>
      <c r="L126" s="23"/>
      <c r="M126" s="23"/>
      <c r="N126" s="14"/>
      <c r="O126" s="14"/>
      <c r="P126" s="14"/>
    </row>
    <row r="127" spans="1:16" ht="18">
      <c r="A127" s="33" t="s">
        <v>11</v>
      </c>
      <c r="B127" s="23"/>
      <c r="C127" s="23"/>
      <c r="D127" s="23"/>
      <c r="E127" s="23"/>
      <c r="F127" s="23"/>
      <c r="G127" s="14"/>
      <c r="H127" s="97"/>
      <c r="I127" s="98"/>
      <c r="J127" s="35"/>
      <c r="K127" s="35"/>
      <c r="L127" s="23"/>
      <c r="M127" s="23"/>
      <c r="N127" s="14"/>
      <c r="O127" s="14"/>
      <c r="P127" s="14"/>
    </row>
    <row r="128" spans="1:16" ht="9" customHeight="1" thickBot="1">
      <c r="A128" s="14"/>
      <c r="B128" s="156"/>
      <c r="C128" s="156"/>
      <c r="D128" s="156"/>
      <c r="E128" s="102"/>
      <c r="F128" s="23"/>
      <c r="G128" s="14"/>
      <c r="H128" s="97"/>
      <c r="I128" s="98"/>
      <c r="J128" s="35"/>
      <c r="K128" s="35"/>
      <c r="L128" s="23"/>
      <c r="M128" s="23"/>
      <c r="N128" s="14"/>
      <c r="O128" s="14"/>
      <c r="P128" s="14"/>
    </row>
    <row r="129" spans="1:16" ht="30" customHeight="1" thickBot="1">
      <c r="A129" s="107" t="s">
        <v>65</v>
      </c>
      <c r="B129" s="156"/>
      <c r="C129" s="156"/>
      <c r="D129" s="156"/>
      <c r="E129" s="102"/>
      <c r="F129" s="23"/>
      <c r="G129" s="14"/>
      <c r="H129" s="290"/>
      <c r="I129" s="291"/>
      <c r="J129" s="94" t="s">
        <v>17</v>
      </c>
      <c r="K129" s="94" t="s">
        <v>59</v>
      </c>
      <c r="L129" s="23"/>
      <c r="M129" s="23"/>
      <c r="N129" s="14"/>
      <c r="O129" s="14"/>
      <c r="P129" s="14"/>
    </row>
    <row r="130" spans="1:16" ht="7.5" customHeight="1">
      <c r="A130" s="156"/>
      <c r="B130" s="156"/>
      <c r="C130" s="156"/>
      <c r="D130" s="156"/>
      <c r="E130" s="102"/>
      <c r="F130" s="23"/>
      <c r="G130" s="14"/>
      <c r="H130" s="97"/>
      <c r="I130" s="98"/>
      <c r="J130" s="35"/>
      <c r="K130" s="35"/>
      <c r="L130" s="23"/>
      <c r="M130" s="23"/>
      <c r="N130" s="14"/>
      <c r="O130" s="14"/>
      <c r="P130" s="14"/>
    </row>
    <row r="131" spans="1:16" ht="9" customHeight="1" thickBot="1">
      <c r="A131" s="35"/>
      <c r="B131" s="35"/>
      <c r="C131" s="35"/>
      <c r="D131" s="35"/>
      <c r="E131" s="35"/>
      <c r="F131" s="32"/>
      <c r="G131" s="14"/>
      <c r="H131" s="97"/>
      <c r="I131" s="98"/>
      <c r="J131" s="35"/>
      <c r="K131" s="35"/>
      <c r="L131" s="23"/>
      <c r="M131" s="23"/>
      <c r="N131" s="14"/>
      <c r="O131" s="14"/>
      <c r="P131" s="14"/>
    </row>
    <row r="132" spans="1:16" ht="30" customHeight="1" thickBot="1">
      <c r="A132" s="35" t="s">
        <v>66</v>
      </c>
      <c r="B132" s="35"/>
      <c r="C132" s="35"/>
      <c r="D132" s="35"/>
      <c r="E132" s="35"/>
      <c r="F132" s="23"/>
      <c r="G132" s="14"/>
      <c r="H132" s="277">
        <f>H129*0.5</f>
        <v>0</v>
      </c>
      <c r="I132" s="278"/>
      <c r="J132" s="94" t="s">
        <v>17</v>
      </c>
      <c r="K132" s="94" t="s">
        <v>60</v>
      </c>
      <c r="L132" s="23"/>
      <c r="M132" s="23"/>
      <c r="N132" s="14"/>
      <c r="O132" s="14"/>
      <c r="P132" s="14"/>
    </row>
    <row r="133" spans="1:16" ht="9" customHeight="1" thickBot="1">
      <c r="A133" s="48"/>
      <c r="B133" s="48"/>
      <c r="C133" s="48"/>
      <c r="D133" s="48"/>
      <c r="E133" s="48"/>
      <c r="F133" s="48"/>
      <c r="G133" s="14"/>
      <c r="H133" s="97"/>
      <c r="I133" s="98"/>
      <c r="J133" s="95"/>
      <c r="K133" s="95"/>
      <c r="L133" s="48"/>
      <c r="M133" s="48"/>
      <c r="N133" s="51"/>
      <c r="O133" s="51"/>
      <c r="P133" s="51"/>
    </row>
    <row r="134" spans="1:16" ht="9" customHeight="1">
      <c r="A134" s="23"/>
      <c r="B134" s="23"/>
      <c r="C134" s="23"/>
      <c r="D134" s="23"/>
      <c r="E134" s="23"/>
      <c r="F134" s="23"/>
      <c r="G134" s="80"/>
      <c r="H134" s="99"/>
      <c r="I134" s="100"/>
      <c r="J134" s="35"/>
      <c r="K134" s="35"/>
      <c r="L134" s="23"/>
      <c r="M134" s="23"/>
      <c r="N134" s="14"/>
      <c r="O134" s="14"/>
      <c r="P134" s="14"/>
    </row>
    <row r="135" spans="1:16" ht="18">
      <c r="A135" s="33" t="s">
        <v>18</v>
      </c>
      <c r="B135" s="23"/>
      <c r="C135" s="23"/>
      <c r="D135" s="23"/>
      <c r="E135" s="23"/>
      <c r="F135" s="23"/>
      <c r="G135" s="14"/>
      <c r="H135" s="97"/>
      <c r="I135" s="98"/>
      <c r="J135" s="35"/>
      <c r="K135" s="35"/>
      <c r="L135" s="23"/>
      <c r="M135" s="23"/>
      <c r="N135" s="14"/>
      <c r="O135" s="14"/>
      <c r="P135" s="14"/>
    </row>
    <row r="136" spans="1:16" ht="7.5" customHeight="1" thickBot="1">
      <c r="A136" s="23"/>
      <c r="B136" s="23"/>
      <c r="C136" s="23"/>
      <c r="D136" s="23"/>
      <c r="E136" s="23"/>
      <c r="F136" s="23"/>
      <c r="G136" s="14"/>
      <c r="H136" s="97"/>
      <c r="I136" s="98"/>
      <c r="J136" s="35"/>
      <c r="K136" s="35"/>
      <c r="L136" s="23"/>
      <c r="M136" s="23"/>
      <c r="N136" s="14"/>
      <c r="O136" s="14"/>
      <c r="P136" s="14"/>
    </row>
    <row r="137" spans="1:16" ht="30" customHeight="1" thickBot="1">
      <c r="A137" s="35" t="s">
        <v>67</v>
      </c>
      <c r="B137" s="35"/>
      <c r="C137" s="23"/>
      <c r="D137" s="23"/>
      <c r="E137" s="23"/>
      <c r="F137" s="23"/>
      <c r="G137" s="14"/>
      <c r="H137" s="277">
        <f>H132+H124+H118</f>
        <v>0</v>
      </c>
      <c r="I137" s="278"/>
      <c r="J137" s="94" t="s">
        <v>17</v>
      </c>
      <c r="K137" s="94" t="s">
        <v>68</v>
      </c>
      <c r="L137" s="23"/>
      <c r="M137" s="23"/>
      <c r="N137" s="14"/>
      <c r="O137" s="14"/>
      <c r="P137" s="14"/>
    </row>
    <row r="138" spans="1:16" ht="9" customHeight="1" thickBot="1">
      <c r="A138" s="35"/>
      <c r="B138" s="35"/>
      <c r="C138" s="23"/>
      <c r="D138" s="23"/>
      <c r="E138" s="23"/>
      <c r="F138" s="23"/>
      <c r="G138" s="23"/>
      <c r="H138" s="98"/>
      <c r="I138" s="98"/>
      <c r="J138" s="94"/>
      <c r="K138" s="94"/>
      <c r="L138" s="23"/>
      <c r="M138" s="23"/>
      <c r="N138" s="14"/>
      <c r="O138" s="14"/>
      <c r="P138" s="14"/>
    </row>
    <row r="139" spans="1:16" ht="30" customHeight="1" thickBot="1">
      <c r="A139" s="292" t="s">
        <v>70</v>
      </c>
      <c r="B139" s="263"/>
      <c r="C139" s="263"/>
      <c r="D139" s="263"/>
      <c r="E139" s="263"/>
      <c r="F139" s="263"/>
      <c r="G139" s="293"/>
      <c r="H139" s="253">
        <f>H137/43560</f>
        <v>0</v>
      </c>
      <c r="I139" s="289"/>
      <c r="J139" s="94" t="s">
        <v>0</v>
      </c>
      <c r="K139" s="94" t="s">
        <v>69</v>
      </c>
      <c r="L139" s="23"/>
      <c r="M139" s="23"/>
      <c r="N139" s="14"/>
      <c r="O139" s="14"/>
      <c r="P139" s="14"/>
    </row>
    <row r="140" spans="1:16" ht="15">
      <c r="A140" s="35" t="s">
        <v>127</v>
      </c>
      <c r="B140" s="35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14"/>
      <c r="O140" s="14"/>
      <c r="P140" s="14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4" s="14" customFormat="1" ht="18">
      <c r="B142" s="81" t="s">
        <v>40</v>
      </c>
      <c r="C142" s="71"/>
      <c r="D142" s="71"/>
      <c r="E142" s="71"/>
      <c r="F142" s="72"/>
      <c r="G142" s="72"/>
      <c r="H142" s="73"/>
      <c r="I142" s="73"/>
      <c r="J142" s="73"/>
      <c r="K142" s="73"/>
      <c r="L142" s="73"/>
      <c r="M142" s="73"/>
      <c r="N142" s="73"/>
    </row>
    <row r="143" spans="1:16" s="14" customFormat="1" ht="10.5" customHeight="1" thickBot="1">
      <c r="A143" s="51"/>
      <c r="B143" s="74"/>
      <c r="C143" s="75"/>
      <c r="D143" s="75"/>
      <c r="E143" s="75"/>
      <c r="F143" s="76"/>
      <c r="G143" s="76"/>
      <c r="H143" s="74"/>
      <c r="I143" s="74"/>
      <c r="J143" s="74"/>
      <c r="K143" s="74"/>
      <c r="L143" s="74"/>
      <c r="M143" s="74"/>
      <c r="N143" s="74"/>
      <c r="O143" s="51"/>
      <c r="P143" s="51"/>
    </row>
    <row r="144" spans="1:16" ht="18">
      <c r="A144" s="67" t="s">
        <v>140</v>
      </c>
      <c r="B144" s="53"/>
      <c r="C144" s="53"/>
      <c r="D144" s="53"/>
      <c r="E144" s="53"/>
      <c r="F144" s="53"/>
      <c r="G144" s="54"/>
      <c r="H144" s="54"/>
      <c r="I144" s="54"/>
      <c r="J144" s="55"/>
      <c r="K144" s="55"/>
      <c r="L144" s="53"/>
      <c r="M144" s="53"/>
      <c r="N144" s="53"/>
      <c r="O144" s="53"/>
      <c r="P144" s="53"/>
    </row>
    <row r="145" spans="1:16" ht="9.75" customHeight="1">
      <c r="A145" s="14"/>
      <c r="B145" s="14"/>
      <c r="C145" s="14"/>
      <c r="D145" s="14"/>
      <c r="E145" s="14"/>
      <c r="F145" s="14"/>
      <c r="G145" s="23"/>
      <c r="H145" s="23"/>
      <c r="I145" s="23"/>
      <c r="J145" s="24"/>
      <c r="K145" s="24"/>
      <c r="L145" s="14"/>
      <c r="M145" s="14"/>
      <c r="N145" s="14"/>
      <c r="O145" s="14"/>
      <c r="P145" s="14"/>
    </row>
    <row r="146" spans="1:16" ht="24" customHeight="1">
      <c r="A146" s="83" t="s">
        <v>33</v>
      </c>
      <c r="B146" s="14"/>
      <c r="C146" s="14"/>
      <c r="D146" s="84" t="s">
        <v>41</v>
      </c>
      <c r="E146" s="14"/>
      <c r="F146" s="14"/>
      <c r="G146" s="23"/>
      <c r="H146" s="23"/>
      <c r="I146" s="23"/>
      <c r="J146" s="24"/>
      <c r="K146" s="24"/>
      <c r="L146" s="14"/>
      <c r="M146" s="14"/>
      <c r="N146" s="14"/>
      <c r="O146" s="14"/>
      <c r="P146" s="14"/>
    </row>
    <row r="147" spans="1:16" ht="19.5" customHeight="1" thickBot="1">
      <c r="A147" s="68"/>
      <c r="B147" s="14"/>
      <c r="C147" s="14"/>
      <c r="D147" s="56"/>
      <c r="E147" s="14"/>
      <c r="F147" s="14"/>
      <c r="G147" s="23"/>
      <c r="H147" s="23"/>
      <c r="I147" s="23"/>
      <c r="J147" s="24"/>
      <c r="K147" s="184" t="s">
        <v>146</v>
      </c>
      <c r="L147" s="14"/>
      <c r="M147" s="14"/>
      <c r="N147" s="14"/>
      <c r="O147" s="14"/>
      <c r="P147" s="14"/>
    </row>
    <row r="148" spans="1:16" ht="28.5" customHeight="1" thickBot="1">
      <c r="A148" s="83" t="s">
        <v>128</v>
      </c>
      <c r="B148" s="14"/>
      <c r="C148" s="14"/>
      <c r="D148" s="295" t="str">
        <f>IF(C4=K149,M149,IF(C4=K150,M150,IF(C4=K151,M151,"select a location on page 1")))</f>
        <v>select a location on page 1</v>
      </c>
      <c r="E148" s="296"/>
      <c r="F148" s="121" t="s">
        <v>102</v>
      </c>
      <c r="G148" s="209"/>
      <c r="H148" s="23"/>
      <c r="I148" s="14"/>
      <c r="J148" s="14"/>
      <c r="K148" s="285" t="s">
        <v>145</v>
      </c>
      <c r="L148" s="286"/>
      <c r="M148" s="286"/>
      <c r="N148" s="287"/>
      <c r="O148" s="14"/>
      <c r="P148" s="14"/>
    </row>
    <row r="149" spans="1:16" ht="18.75" thickBot="1">
      <c r="A149" s="68"/>
      <c r="B149" s="14"/>
      <c r="C149" s="14"/>
      <c r="D149" s="86"/>
      <c r="E149" s="86"/>
      <c r="F149" s="87"/>
      <c r="G149" s="23"/>
      <c r="H149" s="23"/>
      <c r="I149" s="14"/>
      <c r="J149" s="14"/>
      <c r="K149" s="178" t="s">
        <v>37</v>
      </c>
      <c r="L149" s="179" t="s">
        <v>151</v>
      </c>
      <c r="M149" s="208">
        <v>0.2</v>
      </c>
      <c r="N149" s="180" t="s">
        <v>152</v>
      </c>
      <c r="O149" s="14"/>
      <c r="P149" s="14"/>
    </row>
    <row r="150" spans="1:16" ht="28.5" customHeight="1" thickBot="1">
      <c r="A150" s="83" t="s">
        <v>79</v>
      </c>
      <c r="B150" s="14"/>
      <c r="C150" s="14"/>
      <c r="D150" s="270">
        <f>Box_AAT</f>
        <v>0</v>
      </c>
      <c r="E150" s="288"/>
      <c r="F150" s="87" t="s">
        <v>101</v>
      </c>
      <c r="G150" s="23"/>
      <c r="H150" s="23"/>
      <c r="I150" s="14"/>
      <c r="J150" s="14"/>
      <c r="K150" s="178" t="s">
        <v>38</v>
      </c>
      <c r="L150" s="179" t="s">
        <v>151</v>
      </c>
      <c r="M150" s="208">
        <v>0.18</v>
      </c>
      <c r="N150" s="180" t="s">
        <v>152</v>
      </c>
      <c r="O150" s="14"/>
      <c r="P150" s="14"/>
    </row>
    <row r="151" spans="1:16" ht="15" customHeight="1" thickBot="1">
      <c r="A151" s="68"/>
      <c r="B151" s="14"/>
      <c r="C151" s="14"/>
      <c r="D151" s="86"/>
      <c r="E151" s="86"/>
      <c r="F151" s="87"/>
      <c r="G151" s="23"/>
      <c r="H151" s="23"/>
      <c r="I151" s="14"/>
      <c r="J151" s="14"/>
      <c r="K151" s="181" t="s">
        <v>39</v>
      </c>
      <c r="L151" s="182" t="s">
        <v>151</v>
      </c>
      <c r="M151" s="210">
        <v>0.2</v>
      </c>
      <c r="N151" s="183" t="s">
        <v>152</v>
      </c>
      <c r="O151" s="14"/>
      <c r="P151" s="14"/>
    </row>
    <row r="152" spans="1:16" ht="30" customHeight="1" thickBot="1">
      <c r="A152" s="83" t="s">
        <v>91</v>
      </c>
      <c r="B152" s="14"/>
      <c r="C152" s="14"/>
      <c r="D152" s="253">
        <v>0.95</v>
      </c>
      <c r="E152" s="282"/>
      <c r="F152" s="87" t="s">
        <v>20</v>
      </c>
      <c r="G152" s="209"/>
      <c r="H152" s="23"/>
      <c r="I152" s="23"/>
      <c r="J152" s="24"/>
      <c r="K152" s="14"/>
      <c r="L152" s="14"/>
      <c r="M152" s="14"/>
      <c r="N152" s="14"/>
      <c r="O152" s="14"/>
      <c r="P152" s="14"/>
    </row>
    <row r="153" spans="1:16" ht="15" customHeight="1" thickBot="1">
      <c r="A153" s="68"/>
      <c r="B153" s="14"/>
      <c r="C153" s="14"/>
      <c r="D153" s="86"/>
      <c r="E153" s="86"/>
      <c r="F153" s="87"/>
      <c r="G153" s="23"/>
      <c r="H153" s="23"/>
      <c r="I153" s="23"/>
      <c r="J153" s="24"/>
      <c r="K153" s="24"/>
      <c r="L153" s="14"/>
      <c r="M153" s="14"/>
      <c r="N153" s="14"/>
      <c r="O153" s="14"/>
      <c r="P153" s="14"/>
    </row>
    <row r="154" spans="1:16" ht="28.5" customHeight="1" thickBot="1">
      <c r="A154" s="14"/>
      <c r="B154" s="85" t="s">
        <v>92</v>
      </c>
      <c r="C154" s="14"/>
      <c r="D154" s="253" t="e">
        <f>D152*D150*D148</f>
        <v>#VALUE!</v>
      </c>
      <c r="E154" s="289"/>
      <c r="F154" s="87" t="s">
        <v>34</v>
      </c>
      <c r="G154" s="23"/>
      <c r="H154" s="23"/>
      <c r="I154" s="23"/>
      <c r="J154" s="24"/>
      <c r="K154" s="24"/>
      <c r="L154" s="14"/>
      <c r="M154" s="14"/>
      <c r="N154" s="14"/>
      <c r="O154" s="14"/>
      <c r="P154" s="14"/>
    </row>
    <row r="155" spans="1:16" ht="7.5" customHeight="1">
      <c r="A155" s="15"/>
      <c r="B155" s="14"/>
      <c r="C155" s="14"/>
      <c r="D155" s="56"/>
      <c r="E155" s="14"/>
      <c r="F155" s="14"/>
      <c r="G155" s="23"/>
      <c r="H155" s="23"/>
      <c r="I155" s="23"/>
      <c r="J155" s="24"/>
      <c r="K155" s="24"/>
      <c r="L155" s="14"/>
      <c r="M155" s="14"/>
      <c r="N155" s="14"/>
      <c r="O155" s="14"/>
      <c r="P155" s="14"/>
    </row>
    <row r="156" spans="1:16" ht="7.5" customHeight="1">
      <c r="A156" s="14"/>
      <c r="B156" s="14"/>
      <c r="C156" s="14"/>
      <c r="D156" s="56"/>
      <c r="E156" s="14"/>
      <c r="F156" s="14"/>
      <c r="G156" s="23"/>
      <c r="H156" s="23"/>
      <c r="I156" s="23"/>
      <c r="J156" s="24"/>
      <c r="K156" s="24"/>
      <c r="L156" s="14"/>
      <c r="M156" s="14"/>
      <c r="N156" s="14"/>
      <c r="O156" s="14"/>
      <c r="P156" s="14"/>
    </row>
    <row r="157" spans="4:11" s="42" customFormat="1" ht="15" customHeight="1">
      <c r="D157" s="57"/>
      <c r="G157" s="3"/>
      <c r="H157" s="3"/>
      <c r="I157" s="3"/>
      <c r="J157" s="58"/>
      <c r="K157" s="58"/>
    </row>
    <row r="158" spans="1:16" ht="18">
      <c r="A158" s="67" t="s">
        <v>80</v>
      </c>
      <c r="B158" s="53"/>
      <c r="C158" s="53"/>
      <c r="D158" s="59"/>
      <c r="E158" s="53"/>
      <c r="F158" s="53"/>
      <c r="G158" s="240" t="str">
        <f>IF(C4=K149,"use this form to calculate volume","do not use form D-2d contiue to form D2-e")</f>
        <v>do not use form D-2d contiue to form D2-e</v>
      </c>
      <c r="H158" s="54"/>
      <c r="I158" s="54"/>
      <c r="J158" s="55"/>
      <c r="K158" s="55"/>
      <c r="L158" s="53"/>
      <c r="M158" s="53"/>
      <c r="N158" s="53"/>
      <c r="O158" s="53"/>
      <c r="P158" s="53"/>
    </row>
    <row r="159" spans="1:16" ht="12.75">
      <c r="A159" s="14"/>
      <c r="B159" s="14"/>
      <c r="C159" s="14"/>
      <c r="D159" s="56"/>
      <c r="E159" s="14"/>
      <c r="F159" s="14"/>
      <c r="G159" s="23"/>
      <c r="H159" s="23"/>
      <c r="I159" s="23"/>
      <c r="J159" s="24"/>
      <c r="K159" s="24"/>
      <c r="L159" s="14"/>
      <c r="M159" s="14"/>
      <c r="N159" s="14"/>
      <c r="O159" s="14"/>
      <c r="P159" s="14"/>
    </row>
    <row r="160" spans="1:16" ht="27.75" customHeight="1">
      <c r="A160" s="83" t="s">
        <v>142</v>
      </c>
      <c r="B160" s="87"/>
      <c r="C160" s="14"/>
      <c r="D160" s="84" t="s">
        <v>42</v>
      </c>
      <c r="E160" s="14"/>
      <c r="F160" s="14"/>
      <c r="G160" s="23"/>
      <c r="H160" s="23"/>
      <c r="I160" s="23"/>
      <c r="J160" s="24"/>
      <c r="K160" s="24"/>
      <c r="L160" s="14"/>
      <c r="M160" s="14"/>
      <c r="N160" s="14"/>
      <c r="O160" s="14"/>
      <c r="P160" s="14"/>
    </row>
    <row r="161" spans="1:16" ht="13.5" thickBot="1">
      <c r="A161" s="294" t="s">
        <v>141</v>
      </c>
      <c r="B161" s="263"/>
      <c r="C161" s="263"/>
      <c r="D161" s="60"/>
      <c r="E161" s="14"/>
      <c r="F161" s="14"/>
      <c r="G161" s="32"/>
      <c r="H161" s="23"/>
      <c r="I161" s="23"/>
      <c r="J161" s="24"/>
      <c r="K161" s="24"/>
      <c r="L161" s="14"/>
      <c r="M161" s="14"/>
      <c r="N161" s="14"/>
      <c r="O161" s="14"/>
      <c r="P161" s="14"/>
    </row>
    <row r="162" spans="1:16" ht="30" customHeight="1" thickBot="1">
      <c r="A162" s="263"/>
      <c r="B162" s="263"/>
      <c r="C162" s="263"/>
      <c r="D162" s="270">
        <f>LOOKUP(Box_IA,Imperviousconversion!O5:O105,Imperviousconversion!P5:P105)</f>
        <v>0.04</v>
      </c>
      <c r="E162" s="271"/>
      <c r="F162" s="87" t="s">
        <v>129</v>
      </c>
      <c r="G162" s="211"/>
      <c r="H162" s="23"/>
      <c r="I162" s="23"/>
      <c r="J162" s="24"/>
      <c r="K162" s="24"/>
      <c r="L162" s="14"/>
      <c r="M162" s="14"/>
      <c r="N162" s="14"/>
      <c r="O162" s="14"/>
      <c r="P162" s="14"/>
    </row>
    <row r="163" spans="1:16" ht="20.25" customHeight="1">
      <c r="A163" s="20"/>
      <c r="B163" s="20"/>
      <c r="C163" s="14"/>
      <c r="D163" s="89"/>
      <c r="E163" s="90"/>
      <c r="F163" s="87"/>
      <c r="G163" s="88"/>
      <c r="H163" s="23"/>
      <c r="I163" s="23"/>
      <c r="J163" s="24"/>
      <c r="K163" s="24"/>
      <c r="L163" s="14"/>
      <c r="M163" s="14"/>
      <c r="N163" s="14"/>
      <c r="O163" s="14"/>
      <c r="P163" s="14"/>
    </row>
    <row r="164" spans="1:16" ht="9" customHeight="1" thickBot="1">
      <c r="A164" s="20"/>
      <c r="B164" s="20"/>
      <c r="C164" s="14"/>
      <c r="D164" s="89"/>
      <c r="E164" s="90"/>
      <c r="F164" s="87"/>
      <c r="G164" s="88"/>
      <c r="H164" s="23"/>
      <c r="I164" s="23"/>
      <c r="J164" s="24"/>
      <c r="K164" s="24"/>
      <c r="L164" s="14"/>
      <c r="M164" s="14"/>
      <c r="N164" s="14"/>
      <c r="O164" s="14"/>
      <c r="P164" s="14"/>
    </row>
    <row r="165" spans="1:16" ht="30" customHeight="1" thickBot="1">
      <c r="A165" s="83" t="s">
        <v>130</v>
      </c>
      <c r="B165" s="87"/>
      <c r="C165" s="14"/>
      <c r="D165" s="270">
        <f>LOOKUP(D162,Imperviousconversion!S5:S105,Imperviousconversion!T5:T105)</f>
        <v>0.0256</v>
      </c>
      <c r="E165" s="271"/>
      <c r="F165" s="87" t="s">
        <v>35</v>
      </c>
      <c r="G165" s="202"/>
      <c r="H165" s="23"/>
      <c r="I165" s="23"/>
      <c r="J165" s="24"/>
      <c r="K165" s="24"/>
      <c r="L165" s="14"/>
      <c r="M165" s="14"/>
      <c r="N165" s="14"/>
      <c r="O165" s="14"/>
      <c r="P165" s="14"/>
    </row>
    <row r="166" spans="1:16" ht="9" customHeight="1" thickBot="1">
      <c r="A166" s="83"/>
      <c r="B166" s="87"/>
      <c r="C166" s="14"/>
      <c r="D166" s="89"/>
      <c r="E166" s="89"/>
      <c r="F166" s="87"/>
      <c r="G166" s="35"/>
      <c r="H166" s="23"/>
      <c r="I166" s="23"/>
      <c r="J166" s="24"/>
      <c r="K166" s="24"/>
      <c r="L166" s="14"/>
      <c r="M166" s="14"/>
      <c r="N166" s="14"/>
      <c r="O166" s="14"/>
      <c r="P166" s="14"/>
    </row>
    <row r="167" spans="1:16" ht="30" customHeight="1" thickBot="1">
      <c r="A167" s="83" t="s">
        <v>131</v>
      </c>
      <c r="B167" s="87"/>
      <c r="C167" s="14"/>
      <c r="D167" s="272">
        <f>Box_A</f>
        <v>0</v>
      </c>
      <c r="E167" s="273"/>
      <c r="F167" s="87" t="s">
        <v>8</v>
      </c>
      <c r="G167" s="35"/>
      <c r="H167" s="23"/>
      <c r="I167" s="23"/>
      <c r="J167" s="24"/>
      <c r="K167" s="24"/>
      <c r="L167" s="14"/>
      <c r="M167" s="14"/>
      <c r="N167" s="14"/>
      <c r="O167" s="14"/>
      <c r="P167" s="14"/>
    </row>
    <row r="168" spans="1:16" ht="10.5" customHeight="1" thickBot="1">
      <c r="A168" s="68"/>
      <c r="B168" s="26"/>
      <c r="C168" s="14"/>
      <c r="D168" s="90"/>
      <c r="E168" s="90"/>
      <c r="F168" s="87"/>
      <c r="G168" s="35"/>
      <c r="H168" s="23"/>
      <c r="I168" s="23"/>
      <c r="J168" s="24"/>
      <c r="K168" s="24"/>
      <c r="L168" s="14"/>
      <c r="M168" s="14"/>
      <c r="N168" s="14"/>
      <c r="O168" s="14"/>
      <c r="P168" s="14"/>
    </row>
    <row r="169" spans="1:16" ht="30" customHeight="1" thickBot="1">
      <c r="A169" s="61"/>
      <c r="B169" s="91" t="s">
        <v>175</v>
      </c>
      <c r="C169" s="14"/>
      <c r="D169" s="272">
        <f>D167*D165/12</f>
        <v>0</v>
      </c>
      <c r="E169" s="273"/>
      <c r="F169" s="87" t="s">
        <v>143</v>
      </c>
      <c r="G169" s="35"/>
      <c r="H169" s="23"/>
      <c r="I169" s="23"/>
      <c r="J169" s="24"/>
      <c r="K169" s="24"/>
      <c r="L169" s="14"/>
      <c r="M169" s="14"/>
      <c r="N169" s="14"/>
      <c r="O169" s="14"/>
      <c r="P169" s="14"/>
    </row>
    <row r="170" spans="1:16" ht="11.25" customHeight="1">
      <c r="A170" s="61"/>
      <c r="B170" s="14"/>
      <c r="C170" s="14"/>
      <c r="D170" s="62"/>
      <c r="E170" s="14"/>
      <c r="F170" s="14"/>
      <c r="G170" s="23"/>
      <c r="H170" s="23"/>
      <c r="I170" s="23"/>
      <c r="J170" s="24"/>
      <c r="K170" s="24"/>
      <c r="L170" s="14"/>
      <c r="M170" s="14"/>
      <c r="N170" s="14"/>
      <c r="O170" s="14"/>
      <c r="P170" s="14"/>
    </row>
    <row r="171" spans="1:16" ht="8.25" customHeight="1">
      <c r="A171" s="15"/>
      <c r="B171" s="14"/>
      <c r="C171" s="14"/>
      <c r="D171" s="63"/>
      <c r="E171" s="14"/>
      <c r="F171" s="14"/>
      <c r="G171" s="23"/>
      <c r="H171" s="23"/>
      <c r="I171" s="23"/>
      <c r="J171" s="24"/>
      <c r="K171" s="24"/>
      <c r="L171" s="14"/>
      <c r="M171" s="14"/>
      <c r="N171" s="14"/>
      <c r="O171" s="14"/>
      <c r="P171" s="14"/>
    </row>
    <row r="172" spans="1:11" s="42" customFormat="1" ht="12.75">
      <c r="A172" s="64"/>
      <c r="D172" s="65"/>
      <c r="G172" s="3"/>
      <c r="H172" s="3"/>
      <c r="I172" s="3"/>
      <c r="J172" s="58"/>
      <c r="K172" s="58"/>
    </row>
    <row r="173" spans="1:16" ht="18">
      <c r="A173" s="67" t="s">
        <v>105</v>
      </c>
      <c r="B173" s="53"/>
      <c r="C173" s="53"/>
      <c r="D173" s="59"/>
      <c r="E173" s="53"/>
      <c r="F173" s="53"/>
      <c r="G173" s="54"/>
      <c r="H173" s="54"/>
      <c r="I173" s="54"/>
      <c r="J173" s="55"/>
      <c r="K173" s="55"/>
      <c r="L173" s="53"/>
      <c r="M173" s="53"/>
      <c r="N173" s="53"/>
      <c r="O173" s="53"/>
      <c r="P173" s="53"/>
    </row>
    <row r="174" spans="1:16" ht="12.75">
      <c r="A174" s="14"/>
      <c r="B174" s="14"/>
      <c r="C174" s="14"/>
      <c r="D174" s="56"/>
      <c r="E174" s="14"/>
      <c r="F174" s="14"/>
      <c r="G174" s="23"/>
      <c r="H174" s="23"/>
      <c r="I174" s="23"/>
      <c r="J174" s="24"/>
      <c r="K174" s="24"/>
      <c r="L174" s="14"/>
      <c r="M174" s="14"/>
      <c r="N174" s="14"/>
      <c r="O174" s="14"/>
      <c r="P174" s="14"/>
    </row>
    <row r="175" spans="1:16" ht="18.75" customHeight="1">
      <c r="A175" s="83" t="s">
        <v>144</v>
      </c>
      <c r="B175" s="83"/>
      <c r="C175" s="83"/>
      <c r="D175" s="122" t="s">
        <v>104</v>
      </c>
      <c r="E175" s="83"/>
      <c r="F175" s="83"/>
      <c r="G175" s="23"/>
      <c r="H175" s="23"/>
      <c r="I175" s="23"/>
      <c r="J175" s="24"/>
      <c r="K175" s="24"/>
      <c r="L175" s="14"/>
      <c r="M175" s="14"/>
      <c r="N175" s="14"/>
      <c r="O175" s="14"/>
      <c r="P175" s="14"/>
    </row>
    <row r="176" spans="1:16" ht="11.25" customHeight="1" thickBot="1">
      <c r="A176" s="83"/>
      <c r="B176" s="83"/>
      <c r="C176" s="83"/>
      <c r="D176" s="122"/>
      <c r="E176" s="83"/>
      <c r="F176" s="83"/>
      <c r="G176" s="14"/>
      <c r="H176" s="23"/>
      <c r="I176" s="23"/>
      <c r="J176" s="24"/>
      <c r="K176" s="24"/>
      <c r="L176" s="14"/>
      <c r="M176" s="14"/>
      <c r="N176" s="14"/>
      <c r="O176" s="14"/>
      <c r="P176" s="14"/>
    </row>
    <row r="177" spans="1:16" ht="30" customHeight="1" thickBot="1">
      <c r="A177" s="83" t="s">
        <v>103</v>
      </c>
      <c r="B177" s="83"/>
      <c r="C177" s="83"/>
      <c r="D177" s="272">
        <f>Box_A</f>
        <v>0</v>
      </c>
      <c r="E177" s="274"/>
      <c r="F177" s="83"/>
      <c r="G177" s="83" t="s">
        <v>8</v>
      </c>
      <c r="H177" s="23"/>
      <c r="I177" s="245"/>
      <c r="J177" s="73" t="s">
        <v>170</v>
      </c>
      <c r="K177" s="73" t="s">
        <v>171</v>
      </c>
      <c r="L177" s="14"/>
      <c r="M177" s="14"/>
      <c r="N177" s="14"/>
      <c r="O177" s="14"/>
      <c r="P177" s="14"/>
    </row>
    <row r="178" spans="1:16" ht="12" customHeight="1" thickBot="1">
      <c r="A178" s="83"/>
      <c r="B178" s="83"/>
      <c r="C178" s="83"/>
      <c r="D178" s="123"/>
      <c r="E178" s="93"/>
      <c r="F178" s="83"/>
      <c r="G178" s="83"/>
      <c r="H178" s="23"/>
      <c r="I178" s="23"/>
      <c r="J178" s="24"/>
      <c r="K178" s="24"/>
      <c r="L178" s="14"/>
      <c r="M178" s="14"/>
      <c r="N178" s="14"/>
      <c r="O178" s="14"/>
      <c r="P178" s="14"/>
    </row>
    <row r="179" spans="1:16" ht="30" customHeight="1" thickBot="1">
      <c r="A179" s="283" t="s">
        <v>93</v>
      </c>
      <c r="B179" s="263"/>
      <c r="C179" s="263"/>
      <c r="D179" s="272" t="e">
        <f>IF(drawdown_hrs=12,LOOKUP(Box_IA,Imperviousconversion!AD12:AD111,Imperviousconversion!AF12:AF111),IF(drawdown_hrs=24,LOOKUP(Box_IA,Imperviousconversion!AD12:AD111,Imperviousconversion!AG12:AG111),LOOKUP(Box_IA,Imperviousconversion!AD12:AD111,Imperviousconversion!AH12:AH111)))</f>
        <v>#N/A</v>
      </c>
      <c r="E179" s="284"/>
      <c r="F179" s="83"/>
      <c r="G179" s="83" t="s">
        <v>94</v>
      </c>
      <c r="H179" s="209"/>
      <c r="I179" s="23"/>
      <c r="J179" s="24"/>
      <c r="K179" s="24"/>
      <c r="L179" s="14"/>
      <c r="M179" s="14"/>
      <c r="N179" s="14"/>
      <c r="O179" s="14"/>
      <c r="P179" s="14"/>
    </row>
    <row r="180" spans="1:16" ht="30" customHeight="1">
      <c r="A180" s="263"/>
      <c r="B180" s="263"/>
      <c r="C180" s="263"/>
      <c r="D180" s="123"/>
      <c r="E180" s="93"/>
      <c r="F180" s="83"/>
      <c r="G180" s="83"/>
      <c r="H180" s="23"/>
      <c r="I180" s="23"/>
      <c r="J180" s="24"/>
      <c r="K180" s="24"/>
      <c r="L180" s="14"/>
      <c r="M180" s="14"/>
      <c r="N180" s="14"/>
      <c r="O180" s="14"/>
      <c r="P180" s="14"/>
    </row>
    <row r="181" spans="1:16" ht="18.75" customHeight="1" thickBot="1">
      <c r="A181" s="83" t="s">
        <v>36</v>
      </c>
      <c r="B181" s="83"/>
      <c r="C181" s="83"/>
      <c r="D181" s="90"/>
      <c r="E181" s="14"/>
      <c r="F181" s="83"/>
      <c r="G181" s="83"/>
      <c r="H181" s="23"/>
      <c r="I181" s="23"/>
      <c r="J181" s="24"/>
      <c r="K181" s="24"/>
      <c r="L181" s="14"/>
      <c r="M181" s="14"/>
      <c r="N181" s="14"/>
      <c r="O181" s="14"/>
      <c r="P181" s="14"/>
    </row>
    <row r="182" spans="1:16" ht="30" customHeight="1" thickBot="1">
      <c r="A182" s="92"/>
      <c r="B182" s="85" t="s">
        <v>95</v>
      </c>
      <c r="C182" s="83"/>
      <c r="D182" s="272" t="e">
        <f>D177*D179/12</f>
        <v>#N/A</v>
      </c>
      <c r="E182" s="282"/>
      <c r="F182" s="83"/>
      <c r="G182" s="83" t="s">
        <v>143</v>
      </c>
      <c r="H182" s="23"/>
      <c r="I182" s="23"/>
      <c r="J182" s="24"/>
      <c r="K182" s="24"/>
      <c r="L182" s="14"/>
      <c r="M182" s="14"/>
      <c r="N182" s="14"/>
      <c r="O182" s="14"/>
      <c r="P182" s="14"/>
    </row>
    <row r="183" spans="1:16" ht="12.75">
      <c r="A183" s="61"/>
      <c r="B183" s="14"/>
      <c r="C183" s="14"/>
      <c r="D183" s="62"/>
      <c r="E183" s="14"/>
      <c r="F183" s="14"/>
      <c r="G183" s="23"/>
      <c r="H183" s="23"/>
      <c r="I183" s="23"/>
      <c r="J183" s="24"/>
      <c r="K183" s="24"/>
      <c r="L183" s="14"/>
      <c r="M183" s="14"/>
      <c r="N183" s="14"/>
      <c r="O183" s="14"/>
      <c r="P183" s="14"/>
    </row>
    <row r="184" spans="1:11" ht="12.75">
      <c r="A184" s="3"/>
      <c r="B184" s="3"/>
      <c r="C184" s="66"/>
      <c r="D184" s="3"/>
      <c r="E184" s="3"/>
      <c r="F184" s="3"/>
      <c r="G184" s="3"/>
      <c r="H184" s="3"/>
      <c r="I184" s="3"/>
      <c r="J184" s="4"/>
      <c r="K184" s="4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4"/>
      <c r="K185" s="4"/>
    </row>
    <row r="186" spans="4:8" ht="19.5" customHeight="1">
      <c r="D186" s="166"/>
      <c r="E186" s="166"/>
      <c r="F186" s="166"/>
      <c r="G186" s="154"/>
      <c r="H186" s="154"/>
    </row>
    <row r="187" spans="7:8" ht="19.5" customHeight="1">
      <c r="G187" s="132"/>
      <c r="H187" s="131"/>
    </row>
    <row r="188" spans="7:8" ht="19.5" customHeight="1">
      <c r="G188" s="132"/>
      <c r="H188" s="131"/>
    </row>
    <row r="189" spans="7:8" ht="19.5" customHeight="1">
      <c r="G189" s="132"/>
      <c r="H189" s="131"/>
    </row>
  </sheetData>
  <sheetProtection password="C9D2" sheet="1" objects="1" scenarios="1"/>
  <protectedRanges>
    <protectedRange sqref="C3 C4 F7 F9 E44 I44 E49 E51 E53 H82 H84 H116 H122 H129 I177 H95" name="Range1"/>
  </protectedRanges>
  <mergeCells count="51">
    <mergeCell ref="K68:M68"/>
    <mergeCell ref="H82:I82"/>
    <mergeCell ref="H68:J68"/>
    <mergeCell ref="H69:J69"/>
    <mergeCell ref="H70:J70"/>
    <mergeCell ref="H71:J71"/>
    <mergeCell ref="A161:C162"/>
    <mergeCell ref="F62:H62"/>
    <mergeCell ref="D148:E148"/>
    <mergeCell ref="H116:I116"/>
    <mergeCell ref="H137:I137"/>
    <mergeCell ref="H67:M67"/>
    <mergeCell ref="B66:D66"/>
    <mergeCell ref="F64:H64"/>
    <mergeCell ref="H95:I95"/>
    <mergeCell ref="H72:J72"/>
    <mergeCell ref="K148:N148"/>
    <mergeCell ref="H104:I104"/>
    <mergeCell ref="D150:E150"/>
    <mergeCell ref="D154:E154"/>
    <mergeCell ref="D152:E152"/>
    <mergeCell ref="H129:I129"/>
    <mergeCell ref="A139:G139"/>
    <mergeCell ref="L106:M106"/>
    <mergeCell ref="H132:I132"/>
    <mergeCell ref="H139:I139"/>
    <mergeCell ref="A179:C180"/>
    <mergeCell ref="D179:E179"/>
    <mergeCell ref="D167:E167"/>
    <mergeCell ref="D182:E182"/>
    <mergeCell ref="F13:H13"/>
    <mergeCell ref="D165:E165"/>
    <mergeCell ref="D169:E169"/>
    <mergeCell ref="D177:E177"/>
    <mergeCell ref="D162:E162"/>
    <mergeCell ref="H66:M66"/>
    <mergeCell ref="H118:I118"/>
    <mergeCell ref="H122:I122"/>
    <mergeCell ref="H124:I124"/>
    <mergeCell ref="F60:H60"/>
    <mergeCell ref="B1:P1"/>
    <mergeCell ref="M8:O12"/>
    <mergeCell ref="F7:H7"/>
    <mergeCell ref="F9:H9"/>
    <mergeCell ref="F11:H11"/>
    <mergeCell ref="C4:D4"/>
    <mergeCell ref="C3:G3"/>
    <mergeCell ref="H84:I84"/>
    <mergeCell ref="H86:I86"/>
    <mergeCell ref="H102:I102"/>
    <mergeCell ref="H91:I92"/>
  </mergeCells>
  <dataValidations count="4">
    <dataValidation type="list" allowBlank="1" showInputMessage="1" showErrorMessage="1" prompt="see Table D-2a for efficiency factors" sqref="I44">
      <formula1>$C$69:$C$72</formula1>
    </dataValidation>
    <dataValidation type="list" allowBlank="1" showInputMessage="1" showErrorMessage="1" sqref="I177">
      <formula1>drawdown_time</formula1>
    </dataValidation>
    <dataValidation type="list" allowBlank="1" showInputMessage="1" showErrorMessage="1" sqref="H95:I95">
      <formula1>$C$98:$C$101</formula1>
    </dataValidation>
    <dataValidation type="list" allowBlank="1" showInputMessage="1" showErrorMessage="1" sqref="C4:D4">
      <formula1>$K$149:$K$151</formula1>
    </dataValidation>
  </dataValidations>
  <printOptions/>
  <pageMargins left="0.37" right="0.42" top="0.51" bottom="0.52" header="0.5" footer="0.5"/>
  <pageSetup fitToHeight="0" fitToWidth="1" horizontalDpi="200" verticalDpi="200" orientation="portrait" scale="55" r:id="rId2"/>
  <headerFooter alignWithMargins="0">
    <oddFooter>&amp;CCheck the website for the electronic version at www.sactostormwater.org click on "new development"</oddFooter>
  </headerFooter>
  <rowBreaks count="2" manualBreakCount="2">
    <brk id="73" max="15" man="1"/>
    <brk id="14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Works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olsonp</dc:creator>
  <cp:keywords/>
  <dc:description/>
  <cp:lastModifiedBy>christensens</cp:lastModifiedBy>
  <cp:lastPrinted>2007-05-10T22:31:03Z</cp:lastPrinted>
  <dcterms:created xsi:type="dcterms:W3CDTF">2005-10-06T16:04:14Z</dcterms:created>
  <dcterms:modified xsi:type="dcterms:W3CDTF">2007-05-18T16:22:13Z</dcterms:modified>
  <cp:category/>
  <cp:version/>
  <cp:contentType/>
  <cp:contentStatus/>
</cp:coreProperties>
</file>