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5" yWindow="65476" windowWidth="6705" windowHeight="11640" activeTab="2"/>
  </bookViews>
  <sheets>
    <sheet name="Imperviousconversion" sheetId="1" r:id="rId1"/>
    <sheet name="Background" sheetId="2" r:id="rId2"/>
    <sheet name="Blank Residential Form 6-2" sheetId="3" r:id="rId3"/>
  </sheets>
  <definedNames>
    <definedName name="Box_A">'Blank Residential Form 6-2'!$F$9</definedName>
    <definedName name="Box_AAT">'Blank Residential Form 6-2'!$H$65</definedName>
    <definedName name="Box_AOS">'Blank Residential Form 6-2'!$F$11</definedName>
    <definedName name="Box_AT">'Blank Residential Form 6-2'!$F$13</definedName>
    <definedName name="Box_EAM">'Blank Residential Form 6-2'!$L$63</definedName>
    <definedName name="Box_IA">'Blank Residential Form 6-2'!$H$67</definedName>
    <definedName name="Box_IR">'Blank Residential Form 6-2'!$H$69</definedName>
    <definedName name="CASQA_drdn">'Background'!$Q$4:$Q$5</definedName>
    <definedName name="cities">'Blank Residential Form 6-2'!$J$191:$J$193</definedName>
    <definedName name="drawdown_hrs">'Blank Residential Form 6-2'!$J$214</definedName>
    <definedName name="drawdown_time">'Background'!$Q$3:$Q$5</definedName>
    <definedName name="DUA">'Blank Residential Form 6-2'!$F$17</definedName>
    <definedName name="_xlnm.Print_Area" localSheetId="2">'Blank Residential Form 6-2'!$B$1:$Q$222</definedName>
    <definedName name="_xlnm.Print_Area" localSheetId="0">'Imperviousconversion'!$A$1:$L$35</definedName>
    <definedName name="Rational_C">'Blank Residential Form 6-2'!$D$191:$D$195</definedName>
  </definedNames>
  <calcPr fullCalcOnLoad="1"/>
</workbook>
</file>

<file path=xl/sharedStrings.xml><?xml version="1.0" encoding="utf-8"?>
<sst xmlns="http://schemas.openxmlformats.org/spreadsheetml/2006/main" count="253" uniqueCount="204">
  <si>
    <t>acres</t>
  </si>
  <si>
    <t>trees</t>
  </si>
  <si>
    <t>Disconnected Roof Drains</t>
  </si>
  <si>
    <t>A</t>
  </si>
  <si>
    <t>New Evergreen Trees</t>
  </si>
  <si>
    <t>New Deciduous Trees</t>
  </si>
  <si>
    <t>Existing Tree Canopy</t>
  </si>
  <si>
    <t xml:space="preserve">  </t>
  </si>
  <si>
    <t>Step 2 - Calculate Impervious Area Treatments</t>
  </si>
  <si>
    <t>Step 1 - Calculate Area Requiring Treatment</t>
  </si>
  <si>
    <t xml:space="preserve">sq. ft. </t>
  </si>
  <si>
    <t>Runoff is directed across landscaping, determine setback</t>
  </si>
  <si>
    <t>25 ft +</t>
  </si>
  <si>
    <t>Use multiplier of</t>
  </si>
  <si>
    <t>4.   Determine Area Managed</t>
  </si>
  <si>
    <t>C</t>
  </si>
  <si>
    <t>Alternative Driveway Design</t>
  </si>
  <si>
    <t>Pervious Driveway:</t>
  </si>
  <si>
    <t xml:space="preserve">     Cobblestone Block Porous Pavement </t>
  </si>
  <si>
    <t>1. Select type of driveway</t>
  </si>
  <si>
    <t>2. Determine percentage of units with Alternative Driveways:</t>
  </si>
  <si>
    <t>imperviousness</t>
  </si>
  <si>
    <t>Divided Sidewalks</t>
  </si>
  <si>
    <t>1.  Determine percentage of units with divided Sidewalks</t>
  </si>
  <si>
    <t>2.  Determine percentage of roof drains disconnected</t>
  </si>
  <si>
    <t xml:space="preserve">     (see Fact Sheet)</t>
  </si>
  <si>
    <t>See Fact Sheet for more information regarding Disconnected Roof Drain credit guidelines</t>
  </si>
  <si>
    <t>See Fact Sheet for more information regarding NDC Pavement credit guidelines</t>
  </si>
  <si>
    <t>See Fact Sheet for more information regarding Interceptor Tree credit guidelines</t>
  </si>
  <si>
    <t>See Fact Sheet for more information regarding Alternative Driveway Design credit guidelines</t>
  </si>
  <si>
    <t>Not Directly-connected Driveway</t>
  </si>
  <si>
    <t>(Type A and B soils only)</t>
  </si>
  <si>
    <t>3.   Select project density in dwelling units per acre:</t>
  </si>
  <si>
    <t>15-20     Use reduction factor of</t>
  </si>
  <si>
    <t>10-14      Use reduction factor of</t>
  </si>
  <si>
    <t>8,9         Use reduction factor of</t>
  </si>
  <si>
    <t>7            Use reduction factor of</t>
  </si>
  <si>
    <t>5,6         Use reduction factor of</t>
  </si>
  <si>
    <t>3,4         Use reduction factor of</t>
  </si>
  <si>
    <t>1             Use reduction factor of</t>
  </si>
  <si>
    <t>2            Use reduction factor of</t>
  </si>
  <si>
    <t>Dwelling units per acre</t>
  </si>
  <si>
    <t>3,4</t>
  </si>
  <si>
    <t>5,6</t>
  </si>
  <si>
    <t>8,9</t>
  </si>
  <si>
    <t>15-20</t>
  </si>
  <si>
    <t>10-14</t>
  </si>
  <si>
    <t>Calculate treatment flow (cfs):</t>
  </si>
  <si>
    <t>cfs</t>
  </si>
  <si>
    <t>SV</t>
  </si>
  <si>
    <t>Roseville</t>
  </si>
  <si>
    <t>Sacramento</t>
  </si>
  <si>
    <t>Folsom</t>
  </si>
  <si>
    <t>Runoff Coefficient</t>
  </si>
  <si>
    <t>Assumed Initial Impervious Fraction</t>
  </si>
  <si>
    <t>Runoff Reduction Measures</t>
  </si>
  <si>
    <t>Table 6-1a</t>
  </si>
  <si>
    <t>Step 3 - Calculate Flow or Volume Requiring Treatment</t>
  </si>
  <si>
    <t>Table 6-1b</t>
  </si>
  <si>
    <t xml:space="preserve">i </t>
  </si>
  <si>
    <t>Treatment Volume = Area x (Storage Volume ÷ Conversion Factor)</t>
  </si>
  <si>
    <t>10</t>
  </si>
  <si>
    <t>Rooftop percecntages by DU/A</t>
  </si>
  <si>
    <t>Driveway percentages by DU/A</t>
  </si>
  <si>
    <t>Disconnected Pavement</t>
  </si>
  <si>
    <t>Runoff is directed to a dispersal trench or dry well</t>
  </si>
  <si>
    <t>Interceptor Trees</t>
  </si>
  <si>
    <t>Efficiency Multiplier</t>
  </si>
  <si>
    <t>1.  Determine efficiency Multiplier</t>
  </si>
  <si>
    <t>Box J</t>
  </si>
  <si>
    <t>Box J4</t>
  </si>
  <si>
    <t>Box J3</t>
  </si>
  <si>
    <t>Box J2</t>
  </si>
  <si>
    <t>Box J1</t>
  </si>
  <si>
    <t>Box K</t>
  </si>
  <si>
    <t>Box K1</t>
  </si>
  <si>
    <t>Box L1</t>
  </si>
  <si>
    <t>Box L2</t>
  </si>
  <si>
    <t>Box L3</t>
  </si>
  <si>
    <t>Box L4</t>
  </si>
  <si>
    <t>Box L5</t>
  </si>
  <si>
    <t>Box L6</t>
  </si>
  <si>
    <t>Box L7</t>
  </si>
  <si>
    <t>Box L8</t>
  </si>
  <si>
    <t>Box M1</t>
  </si>
  <si>
    <t>Box M2</t>
  </si>
  <si>
    <t>Box M</t>
  </si>
  <si>
    <t>1.  Enter number of new evergreen trees that qualify as Interceptor Trees in Box L1.</t>
  </si>
  <si>
    <t>2.  Multiply Box L1 by 200 and enter result in  Box L2</t>
  </si>
  <si>
    <t>3.  Enter number of new deciduous trees that qualify as Interceptor Trees in Box L3.</t>
  </si>
  <si>
    <t>4.  Multiply Box L3 by 100 and enter result in Box L4</t>
  </si>
  <si>
    <t>5.  Enter square footage of existing tree canopy that qualifies as Existing Tree canopy in Box L5.</t>
  </si>
  <si>
    <t>6.  Multiply Box L5 by 0.5 and enter the result in Box L6</t>
  </si>
  <si>
    <t>Add Boxes L2, L4, and L6 and enter it into Box L7</t>
  </si>
  <si>
    <t>Divide Box L7 by 43,560 to get the number of acres effectively managed and enter the result in Box L8</t>
  </si>
  <si>
    <t>use Form D-1a for credits</t>
  </si>
  <si>
    <t>use Form D-1b for credits</t>
  </si>
  <si>
    <t>use Form D-1c for credits</t>
  </si>
  <si>
    <t>use Form D-1d for credits</t>
  </si>
  <si>
    <t>Table D-1a</t>
  </si>
  <si>
    <t>Form D-1a:  Disconnected Roof Drains Worksheet</t>
  </si>
  <si>
    <t>Form D-1b:  Disconnected Pavement Worksheet</t>
  </si>
  <si>
    <t>Form D-1c:  Interceptor Tree Worksheet</t>
  </si>
  <si>
    <t>Form D-1d: Alternative Driveway Design</t>
  </si>
  <si>
    <t>Determine C Factor using Table D-1b</t>
  </si>
  <si>
    <t>Form D-1f  Treatment - Volume-Based (CASQA)</t>
  </si>
  <si>
    <t>Form D-1g  Treatment - Volume-Based (ASCE-WEF)</t>
  </si>
  <si>
    <r>
      <t>A - A</t>
    </r>
    <r>
      <rPr>
        <vertAlign val="subscript"/>
        <sz val="12"/>
        <rFont val="Arial"/>
        <family val="2"/>
      </rPr>
      <t>OS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</si>
  <si>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OS</t>
    </r>
  </si>
  <si>
    <r>
      <t>A</t>
    </r>
    <r>
      <rPr>
        <vertAlign val="subscript"/>
        <sz val="12"/>
        <rFont val="Arial"/>
        <family val="2"/>
      </rPr>
      <t>T</t>
    </r>
  </si>
  <si>
    <t>Imperviousness</t>
  </si>
  <si>
    <t>I</t>
  </si>
  <si>
    <r>
      <t>P</t>
    </r>
    <r>
      <rPr>
        <vertAlign val="subscript"/>
        <sz val="12"/>
        <rFont val="Arial"/>
        <family val="2"/>
      </rPr>
      <t>0</t>
    </r>
  </si>
  <si>
    <r>
      <t>Obtain 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: Maximized Detention Volume from figures E-1 to E-4 in Appendix E of this manual using I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from Step 2.</t>
    </r>
  </si>
  <si>
    <r>
      <t>Treatment volume = A</t>
    </r>
    <r>
      <rPr>
        <b/>
        <sz val="12"/>
        <rFont val="Arial"/>
        <family val="2"/>
      </rPr>
      <t xml:space="preserve"> x (P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/ 12)</t>
    </r>
  </si>
  <si>
    <r>
      <t>&gt;</t>
    </r>
    <r>
      <rPr>
        <sz val="12"/>
        <rFont val="Arial"/>
        <family val="0"/>
      </rPr>
      <t xml:space="preserve"> 20 and &lt; 25 ft</t>
    </r>
  </si>
  <si>
    <r>
      <t>&gt;</t>
    </r>
    <r>
      <rPr>
        <sz val="12"/>
        <rFont val="Arial"/>
        <family val="0"/>
      </rPr>
      <t xml:space="preserve"> 15 and &lt; 20 ft</t>
    </r>
  </si>
  <si>
    <r>
      <t>&gt;</t>
    </r>
    <r>
      <rPr>
        <sz val="12"/>
        <rFont val="Arial"/>
        <family val="0"/>
      </rPr>
      <t xml:space="preserve"> 10 and &lt; 15 ft</t>
    </r>
  </si>
  <si>
    <r>
      <t>&gt;</t>
    </r>
    <r>
      <rPr>
        <sz val="12"/>
        <rFont val="Arial"/>
        <family val="0"/>
      </rPr>
      <t xml:space="preserve"> 5 and &lt; 10 ft</t>
    </r>
  </si>
  <si>
    <t>See Area Example Below</t>
  </si>
  <si>
    <r>
      <t>A</t>
    </r>
    <r>
      <rPr>
        <vertAlign val="subscript"/>
        <sz val="12"/>
        <rFont val="Arial"/>
        <family val="2"/>
      </rPr>
      <t>AT</t>
    </r>
  </si>
  <si>
    <r>
      <t>I</t>
    </r>
    <r>
      <rPr>
        <vertAlign val="subscript"/>
        <sz val="12"/>
        <rFont val="Tahoma"/>
        <family val="2"/>
      </rPr>
      <t>A</t>
    </r>
  </si>
  <si>
    <r>
      <t>Multiply Box J3 by A</t>
    </r>
    <r>
      <rPr>
        <vertAlign val="subscript"/>
        <sz val="12"/>
        <rFont val="Arial"/>
        <family val="0"/>
      </rPr>
      <t>T</t>
    </r>
    <r>
      <rPr>
        <sz val="12"/>
        <rFont val="Arial"/>
        <family val="0"/>
      </rPr>
      <t>, and enter the result in Box J4</t>
    </r>
  </si>
  <si>
    <r>
      <t>Flow = C * i * A</t>
    </r>
    <r>
      <rPr>
        <b/>
        <vertAlign val="subscript"/>
        <sz val="12"/>
        <rFont val="Arial"/>
        <family val="2"/>
      </rPr>
      <t>AT</t>
    </r>
  </si>
  <si>
    <r>
      <t>Treatment volume = A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0"/>
      </rPr>
      <t xml:space="preserve"> x (SV / 12)</t>
    </r>
  </si>
  <si>
    <r>
      <t>WQV = Area x Maximized Detention Volume (P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</si>
  <si>
    <t>Single-family areas</t>
  </si>
  <si>
    <t>Multi-units, detached</t>
  </si>
  <si>
    <t>Multi-units, attached</t>
  </si>
  <si>
    <t>Apartment dwelling areas</t>
  </si>
  <si>
    <t>TABLE D-1b</t>
  </si>
  <si>
    <t>Adjusted Area for Flow-Based Treatment</t>
  </si>
  <si>
    <t>Adjusted Impervious Fraction for A</t>
  </si>
  <si>
    <t>Reduction Factor</t>
  </si>
  <si>
    <t xml:space="preserve">     Pervious Concrete/Asphalt Pavement </t>
  </si>
  <si>
    <t>Drainage Shed Area</t>
  </si>
  <si>
    <t>Treatment Area</t>
  </si>
  <si>
    <t>Name of Drainage Shed:</t>
  </si>
  <si>
    <r>
      <t>A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- A</t>
    </r>
    <r>
      <rPr>
        <vertAlign val="subscript"/>
        <sz val="12"/>
        <rFont val="Arial"/>
        <family val="2"/>
      </rPr>
      <t xml:space="preserve">C </t>
    </r>
    <r>
      <rPr>
        <sz val="12"/>
        <rFont val="Arial"/>
        <family val="2"/>
      </rPr>
      <t>=</t>
    </r>
  </si>
  <si>
    <r>
      <t>A</t>
    </r>
    <r>
      <rPr>
        <vertAlign val="subscript"/>
        <sz val="12"/>
        <rFont val="Arial"/>
        <family val="2"/>
      </rPr>
      <t>C</t>
    </r>
  </si>
  <si>
    <r>
      <t>Effective Area Managed (A</t>
    </r>
    <r>
      <rPr>
        <vertAlign val="subscript"/>
        <sz val="12"/>
        <rFont val="Arial"/>
        <family val="2"/>
      </rPr>
      <t>C</t>
    </r>
    <r>
      <rPr>
        <sz val="12"/>
        <rFont val="Arial"/>
        <family val="0"/>
      </rPr>
      <t>)</t>
    </r>
  </si>
  <si>
    <r>
      <t>( A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(</t>
    </r>
    <r>
      <rPr>
        <sz val="12"/>
        <rFont val="Tahoma"/>
        <family val="2"/>
      </rPr>
      <t xml:space="preserve"> I </t>
    </r>
    <r>
      <rPr>
        <sz val="12"/>
        <rFont val="Arial"/>
        <family val="2"/>
      </rPr>
      <t>)  - A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/ A =</t>
    </r>
  </si>
  <si>
    <r>
      <t>Effective Area Managed (A</t>
    </r>
    <r>
      <rPr>
        <vertAlign val="subscript"/>
        <sz val="11"/>
        <rFont val="Arial"/>
        <family val="2"/>
      </rPr>
      <t>C</t>
    </r>
    <r>
      <rPr>
        <sz val="11"/>
        <rFont val="Arial"/>
        <family val="0"/>
      </rPr>
      <t>)</t>
    </r>
  </si>
  <si>
    <t>This is the amount of area credit to enter into the "Alternative Driveway Design" Box of Form D-1</t>
  </si>
  <si>
    <t>This is the amount of area credit to enter into the "Interceptor Trees" Box of Form D-1</t>
  </si>
  <si>
    <t>This is the amount of area credit to enter into the "Disconnected Pavement" Box of Form D-1</t>
  </si>
  <si>
    <t>This is the amount of area credit to enter into the "Disconnected Roof Drains" Box of Form D-1</t>
  </si>
  <si>
    <t>Total Interceptor Tree Credits</t>
  </si>
  <si>
    <t>Determine i using Table D-1c (Rainfall Intensity)</t>
  </si>
  <si>
    <r>
      <t>Determine Adjusted C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using Table D-2d (for CASQA Method) and the Adjusted Impervious Fraction (</t>
    </r>
    <r>
      <rPr>
        <sz val="12"/>
        <rFont val="Tahoma"/>
        <family val="2"/>
      </rPr>
      <t>I</t>
    </r>
    <r>
      <rPr>
        <vertAlign val="subscript"/>
        <sz val="12"/>
        <rFont val="Tahoma"/>
        <family val="2"/>
      </rPr>
      <t>A</t>
    </r>
    <r>
      <rPr>
        <sz val="12"/>
        <rFont val="Arial"/>
        <family val="2"/>
      </rPr>
      <t>) from Step 2</t>
    </r>
  </si>
  <si>
    <r>
      <t>C</t>
    </r>
    <r>
      <rPr>
        <vertAlign val="subscript"/>
        <sz val="12"/>
        <rFont val="Arial"/>
        <family val="2"/>
      </rPr>
      <t>A</t>
    </r>
  </si>
  <si>
    <r>
      <t>Determine Unit Basin Storage Volume (Fig. D-2A) using C</t>
    </r>
    <r>
      <rPr>
        <vertAlign val="subscript"/>
        <sz val="12"/>
        <rFont val="Arial"/>
        <family val="2"/>
      </rPr>
      <t>A</t>
    </r>
  </si>
  <si>
    <r>
      <t>Open Space and Parks Acreage</t>
    </r>
    <r>
      <rPr>
        <b/>
        <sz val="14"/>
        <rFont val="Arial"/>
        <family val="2"/>
      </rPr>
      <t>*</t>
    </r>
  </si>
  <si>
    <r>
      <t>*</t>
    </r>
    <r>
      <rPr>
        <sz val="10"/>
        <rFont val="Arial"/>
        <family val="0"/>
      </rPr>
      <t>. Includes all areas maintained in a natural state and planned for landscaped park areas</t>
    </r>
  </si>
  <si>
    <t>Total Effective Area Managed (Credit Area)</t>
  </si>
  <si>
    <t>Flow = Runoff Coefficient x Rainfall Intensity x Adjusted Treatment Area</t>
  </si>
  <si>
    <t>Form D-1e  Treatment - Flow-Based (Rational Method)</t>
  </si>
  <si>
    <r>
      <t>A</t>
    </r>
    <r>
      <rPr>
        <vertAlign val="subscript"/>
        <sz val="12"/>
        <rFont val="Arial"/>
        <family val="2"/>
      </rPr>
      <t>AT</t>
    </r>
    <r>
      <rPr>
        <sz val="12"/>
        <rFont val="Arial"/>
        <family val="2"/>
      </rPr>
      <t xml:space="preserve"> from Step 2</t>
    </r>
  </si>
  <si>
    <t>A from Step 1</t>
  </si>
  <si>
    <t>Calculate treatment volume (Acre-Feet):</t>
  </si>
  <si>
    <t>Acre-Feet</t>
  </si>
  <si>
    <t>Calculate water quality volume (Acre-Feet):</t>
  </si>
  <si>
    <t>Table D-1c</t>
  </si>
  <si>
    <t xml:space="preserve"> Rainfall Intensity</t>
  </si>
  <si>
    <t>Runoff Coefficient (Rational), C</t>
  </si>
  <si>
    <t>TABLE D-1d</t>
  </si>
  <si>
    <r>
      <t>I</t>
    </r>
    <r>
      <rPr>
        <b/>
        <vertAlign val="subscript"/>
        <sz val="14"/>
        <rFont val="Tahoma"/>
        <family val="2"/>
      </rPr>
      <t>A</t>
    </r>
  </si>
  <si>
    <r>
      <t>C</t>
    </r>
    <r>
      <rPr>
        <b/>
        <vertAlign val="subscript"/>
        <sz val="14"/>
        <rFont val="Tahoma"/>
        <family val="2"/>
      </rPr>
      <t>A</t>
    </r>
  </si>
  <si>
    <t>Adjusted Runoff Coefficient (CASQA)</t>
  </si>
  <si>
    <t>User Specified</t>
  </si>
  <si>
    <t>i =</t>
  </si>
  <si>
    <t xml:space="preserve"> in/hr</t>
  </si>
  <si>
    <t>Project Located in</t>
  </si>
  <si>
    <r>
      <t>Number of Units in A</t>
    </r>
    <r>
      <rPr>
        <b/>
        <vertAlign val="subscript"/>
        <sz val="12"/>
        <rFont val="Arial"/>
        <family val="2"/>
      </rPr>
      <t>T</t>
    </r>
  </si>
  <si>
    <r>
      <t>Number of units per acre in A</t>
    </r>
    <r>
      <rPr>
        <b/>
        <vertAlign val="subscript"/>
        <sz val="12"/>
        <rFont val="Arial"/>
        <family val="2"/>
      </rPr>
      <t>T</t>
    </r>
  </si>
  <si>
    <r>
      <t>DU/A</t>
    </r>
    <r>
      <rPr>
        <vertAlign val="subscript"/>
        <sz val="12"/>
        <rFont val="Arial"/>
        <family val="2"/>
      </rPr>
      <t>T</t>
    </r>
    <r>
      <rPr>
        <sz val="12"/>
        <rFont val="Arial"/>
        <family val="0"/>
      </rPr>
      <t xml:space="preserve"> =</t>
    </r>
  </si>
  <si>
    <t>For look up table</t>
  </si>
  <si>
    <t>Table for CASQA unit basin storage vs capture runoff at 80%</t>
  </si>
  <si>
    <t>Runoff Coeff</t>
  </si>
  <si>
    <t>Basin Storage Vol (in)</t>
  </si>
  <si>
    <t>change between the two pts</t>
  </si>
  <si>
    <t>assume linear change between the two adjacent points</t>
  </si>
  <si>
    <r>
      <t>a</t>
    </r>
    <r>
      <rPr>
        <vertAlign val="subscript"/>
        <sz val="10"/>
        <color indexed="62"/>
        <rFont val="Arial"/>
        <family val="0"/>
      </rPr>
      <t>12</t>
    </r>
  </si>
  <si>
    <r>
      <t>a</t>
    </r>
    <r>
      <rPr>
        <vertAlign val="subscript"/>
        <sz val="10"/>
        <color indexed="62"/>
        <rFont val="Arial"/>
        <family val="0"/>
      </rPr>
      <t>24</t>
    </r>
  </si>
  <si>
    <r>
      <t>a</t>
    </r>
    <r>
      <rPr>
        <vertAlign val="subscript"/>
        <sz val="10"/>
        <color indexed="62"/>
        <rFont val="Arial"/>
        <family val="0"/>
      </rPr>
      <t>48</t>
    </r>
  </si>
  <si>
    <r>
      <t>P</t>
    </r>
    <r>
      <rPr>
        <vertAlign val="subscript"/>
        <sz val="10"/>
        <color indexed="62"/>
        <rFont val="Arial"/>
        <family val="0"/>
      </rPr>
      <t>6</t>
    </r>
  </si>
  <si>
    <t>i</t>
  </si>
  <si>
    <t>c</t>
  </si>
  <si>
    <r>
      <t>P</t>
    </r>
    <r>
      <rPr>
        <b/>
        <vertAlign val="subscript"/>
        <sz val="10"/>
        <rFont val="Arial"/>
        <family val="2"/>
      </rPr>
      <t>12</t>
    </r>
  </si>
  <si>
    <r>
      <t>P</t>
    </r>
    <r>
      <rPr>
        <b/>
        <vertAlign val="subscript"/>
        <sz val="10"/>
        <rFont val="Arial"/>
        <family val="2"/>
      </rPr>
      <t>24</t>
    </r>
  </si>
  <si>
    <r>
      <t>P</t>
    </r>
    <r>
      <rPr>
        <b/>
        <vertAlign val="subscript"/>
        <sz val="10"/>
        <rFont val="Arial"/>
        <family val="2"/>
      </rPr>
      <t>48</t>
    </r>
  </si>
  <si>
    <t>Info for ASCE WEF method to determine P0</t>
  </si>
  <si>
    <t>percent</t>
  </si>
  <si>
    <t>Specified Draw Down time</t>
  </si>
  <si>
    <t>Drawdown times (hours)</t>
  </si>
  <si>
    <t>hrs</t>
  </si>
  <si>
    <t xml:space="preserve">     Modular Block Porous Pavement 
     Porous Gravel Pavement &amp; 
Hollywood Driveway</t>
  </si>
  <si>
    <t>Multiplier:</t>
  </si>
  <si>
    <t xml:space="preserve">      (determine using Table D-1a)</t>
  </si>
  <si>
    <r>
      <t>4.  Multiply Boxes M1, M2, A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and 0.04, and enter the result in Box M</t>
    </r>
  </si>
  <si>
    <t>5.  Multiply Boxes J1, J2 and J4, and enter the Result in Box J</t>
  </si>
  <si>
    <r>
      <t>Multiply Box K1, A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, and 0.04 and enter the result in Box K</t>
    </r>
  </si>
  <si>
    <t>Fill in Highlighted Boxes</t>
  </si>
  <si>
    <t>Appendix D-1:  Residential Sites: Runoff Reduction Credits and Treatment BMP Sizing Calculations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</si>
</sst>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000000000000%"/>
    <numFmt numFmtId="169" formatCode="0.0000000000000000%"/>
    <numFmt numFmtId="170" formatCode="0.00000000000000000%"/>
    <numFmt numFmtId="171" formatCode="0.00000000000000%"/>
    <numFmt numFmtId="172" formatCode="0.0000000000000%"/>
    <numFmt numFmtId="173" formatCode="0.000000000000%"/>
    <numFmt numFmtId="174" formatCode="0.00000000000%"/>
    <numFmt numFmtId="175" formatCode="0.0000000000%"/>
    <numFmt numFmtId="176" formatCode="0.000000000%"/>
    <numFmt numFmtId="177" formatCode="0.00000000%"/>
    <numFmt numFmtId="178" formatCode="0.0000000%"/>
    <numFmt numFmtId="179" formatCode="0.000000%"/>
    <numFmt numFmtId="180" formatCode="0.00000%"/>
    <numFmt numFmtId="181" formatCode="0.0000%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"/>
    <numFmt numFmtId="187" formatCode="0.00000000"/>
    <numFmt numFmtId="188" formatCode="0.0000000"/>
    <numFmt numFmtId="189" formatCode="0.000000"/>
    <numFmt numFmtId="190" formatCode="[$-409]dddd\,\ mmmm\ dd\,\ yyyy"/>
  </numFmts>
  <fonts count="3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0"/>
    </font>
    <font>
      <vertAlign val="subscript"/>
      <sz val="12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4"/>
      <color indexed="16"/>
      <name val="Arial"/>
      <family val="2"/>
    </font>
    <font>
      <sz val="12"/>
      <name val="Tahoma"/>
      <family val="2"/>
    </font>
    <font>
      <vertAlign val="subscript"/>
      <sz val="12"/>
      <name val="Tahoma"/>
      <family val="2"/>
    </font>
    <font>
      <sz val="11"/>
      <name val="Arial"/>
      <family val="0"/>
    </font>
    <font>
      <i/>
      <sz val="12"/>
      <name val="Arial"/>
      <family val="2"/>
    </font>
    <font>
      <i/>
      <sz val="14"/>
      <name val="Arial"/>
      <family val="2"/>
    </font>
    <font>
      <u val="single"/>
      <sz val="12"/>
      <name val="Arial"/>
      <family val="2"/>
    </font>
    <font>
      <sz val="12"/>
      <name val="Times New Roman"/>
      <family val="1"/>
    </font>
    <font>
      <vertAlign val="subscript"/>
      <sz val="11"/>
      <name val="Arial"/>
      <family val="2"/>
    </font>
    <font>
      <sz val="16"/>
      <name val="Arial"/>
      <family val="0"/>
    </font>
    <font>
      <b/>
      <sz val="14"/>
      <name val="Tahoma"/>
      <family val="2"/>
    </font>
    <font>
      <b/>
      <vertAlign val="subscript"/>
      <sz val="14"/>
      <name val="Tahoma"/>
      <family val="2"/>
    </font>
    <font>
      <sz val="10"/>
      <color indexed="10"/>
      <name val="Arial"/>
      <family val="0"/>
    </font>
    <font>
      <sz val="14"/>
      <color indexed="10"/>
      <name val="Arial"/>
      <family val="0"/>
    </font>
    <font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62"/>
      <name val="Arial"/>
      <family val="0"/>
    </font>
    <font>
      <vertAlign val="subscript"/>
      <sz val="10"/>
      <color indexed="62"/>
      <name val="Arial"/>
      <family val="0"/>
    </font>
    <font>
      <b/>
      <vertAlign val="subscript"/>
      <sz val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 horizontal="center" wrapText="1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0" fontId="0" fillId="3" borderId="0" xfId="0" applyFill="1" applyAlignment="1">
      <alignment wrapText="1"/>
    </xf>
    <xf numFmtId="2" fontId="0" fillId="3" borderId="0" xfId="0" applyNumberFormat="1" applyFill="1" applyAlignment="1">
      <alignment/>
    </xf>
    <xf numFmtId="0" fontId="0" fillId="3" borderId="0" xfId="0" applyFill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2" fontId="0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 vertical="center"/>
    </xf>
    <xf numFmtId="0" fontId="0" fillId="3" borderId="2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" borderId="2" xfId="0" applyFont="1" applyFill="1" applyBorder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/>
    </xf>
    <xf numFmtId="0" fontId="0" fillId="3" borderId="0" xfId="0" applyFont="1" applyFill="1" applyBorder="1" applyAlignment="1">
      <alignment vertical="center"/>
    </xf>
    <xf numFmtId="2" fontId="0" fillId="3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0" xfId="0" applyFont="1" applyFill="1" applyBorder="1" applyAlignment="1">
      <alignment horizontal="left"/>
    </xf>
    <xf numFmtId="2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0" fillId="2" borderId="4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5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14" fillId="3" borderId="2" xfId="0" applyFont="1" applyFill="1" applyBorder="1" applyAlignment="1">
      <alignment/>
    </xf>
    <xf numFmtId="0" fontId="0" fillId="3" borderId="4" xfId="0" applyFill="1" applyBorder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center" shrinkToFit="1"/>
    </xf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Alignment="1">
      <alignment horizontal="right"/>
    </xf>
    <xf numFmtId="0" fontId="6" fillId="3" borderId="0" xfId="0" applyFont="1" applyFill="1" applyBorder="1" applyAlignment="1">
      <alignment horizontal="right"/>
    </xf>
    <xf numFmtId="2" fontId="10" fillId="3" borderId="8" xfId="0" applyNumberFormat="1" applyFont="1" applyFill="1" applyBorder="1" applyAlignment="1">
      <alignment/>
    </xf>
    <xf numFmtId="2" fontId="10" fillId="3" borderId="0" xfId="0" applyNumberFormat="1" applyFont="1" applyFill="1" applyAlignment="1">
      <alignment/>
    </xf>
    <xf numFmtId="2" fontId="10" fillId="3" borderId="9" xfId="0" applyNumberFormat="1" applyFont="1" applyFill="1" applyBorder="1" applyAlignment="1">
      <alignment/>
    </xf>
    <xf numFmtId="0" fontId="6" fillId="3" borderId="0" xfId="0" applyFont="1" applyFill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/>
    </xf>
    <xf numFmtId="2" fontId="6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Continuous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Border="1" applyAlignment="1">
      <alignment horizontal="center"/>
    </xf>
    <xf numFmtId="0" fontId="6" fillId="3" borderId="0" xfId="0" applyFont="1" applyFill="1" applyAlignment="1">
      <alignment vertical="center"/>
    </xf>
    <xf numFmtId="0" fontId="6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0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2" fontId="6" fillId="3" borderId="0" xfId="0" applyNumberFormat="1" applyFont="1" applyFill="1" applyAlignment="1">
      <alignment/>
    </xf>
    <xf numFmtId="0" fontId="18" fillId="3" borderId="0" xfId="0" applyFont="1" applyFill="1" applyAlignment="1">
      <alignment/>
    </xf>
    <xf numFmtId="0" fontId="18" fillId="3" borderId="0" xfId="0" applyFont="1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2" fontId="10" fillId="3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9" fillId="3" borderId="0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6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Continuous"/>
    </xf>
    <xf numFmtId="0" fontId="21" fillId="0" borderId="0" xfId="0" applyFont="1" applyBorder="1" applyAlignment="1">
      <alignment vertical="top" wrapText="1"/>
    </xf>
    <xf numFmtId="2" fontId="10" fillId="3" borderId="0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3" borderId="0" xfId="0" applyFont="1" applyFill="1" applyAlignment="1">
      <alignment vertical="center"/>
    </xf>
    <xf numFmtId="0" fontId="6" fillId="3" borderId="5" xfId="0" applyFont="1" applyFill="1" applyBorder="1" applyAlignment="1">
      <alignment vertical="center"/>
    </xf>
    <xf numFmtId="2" fontId="10" fillId="3" borderId="0" xfId="0" applyNumberFormat="1" applyFont="1" applyFill="1" applyBorder="1" applyAlignment="1">
      <alignment/>
    </xf>
    <xf numFmtId="0" fontId="6" fillId="3" borderId="0" xfId="0" applyFont="1" applyFill="1" applyAlignment="1">
      <alignment horizontal="right" shrinkToFit="1"/>
    </xf>
    <xf numFmtId="49" fontId="6" fillId="0" borderId="5" xfId="0" applyNumberFormat="1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5" fillId="0" borderId="0" xfId="0" applyFont="1" applyBorder="1" applyAlignment="1">
      <alignment/>
    </xf>
    <xf numFmtId="2" fontId="6" fillId="0" borderId="7" xfId="0" applyNumberFormat="1" applyFont="1" applyBorder="1" applyAlignment="1">
      <alignment horizont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0" fillId="3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2" fontId="10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2" fontId="10" fillId="0" borderId="13" xfId="0" applyNumberFormat="1" applyFont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6" fontId="6" fillId="0" borderId="18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center" wrapText="1"/>
    </xf>
    <xf numFmtId="0" fontId="26" fillId="3" borderId="0" xfId="0" applyFont="1" applyFill="1" applyBorder="1" applyAlignment="1">
      <alignment/>
    </xf>
    <xf numFmtId="0" fontId="10" fillId="0" borderId="19" xfId="0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26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28" fillId="3" borderId="0" xfId="0" applyFont="1" applyFill="1" applyBorder="1" applyAlignment="1">
      <alignment/>
    </xf>
    <xf numFmtId="0" fontId="28" fillId="3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7" fillId="3" borderId="0" xfId="0" applyFont="1" applyFill="1" applyAlignment="1">
      <alignment/>
    </xf>
    <xf numFmtId="0" fontId="0" fillId="3" borderId="0" xfId="0" applyNumberFormat="1" applyFont="1" applyFill="1" applyAlignment="1">
      <alignment/>
    </xf>
    <xf numFmtId="0" fontId="27" fillId="3" borderId="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right"/>
    </xf>
    <xf numFmtId="2" fontId="6" fillId="3" borderId="21" xfId="0" applyNumberFormat="1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6" fillId="3" borderId="22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28" fillId="3" borderId="0" xfId="0" applyFont="1" applyFill="1" applyAlignment="1">
      <alignment/>
    </xf>
    <xf numFmtId="0" fontId="27" fillId="3" borderId="0" xfId="0" applyFont="1" applyFill="1" applyBorder="1" applyAlignment="1">
      <alignment horizontal="right"/>
    </xf>
    <xf numFmtId="2" fontId="6" fillId="0" borderId="17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vertical="top"/>
    </xf>
    <xf numFmtId="2" fontId="10" fillId="0" borderId="25" xfId="0" applyNumberFormat="1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/>
    </xf>
    <xf numFmtId="167" fontId="10" fillId="4" borderId="8" xfId="0" applyNumberFormat="1" applyFont="1" applyFill="1" applyBorder="1" applyAlignment="1" applyProtection="1">
      <alignment/>
      <protection locked="0"/>
    </xf>
    <xf numFmtId="0" fontId="10" fillId="4" borderId="9" xfId="0" applyFont="1" applyFill="1" applyBorder="1" applyAlignment="1">
      <alignment/>
    </xf>
    <xf numFmtId="0" fontId="10" fillId="4" borderId="8" xfId="0" applyFont="1" applyFill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6" fillId="3" borderId="22" xfId="0" applyFont="1" applyFill="1" applyBorder="1" applyAlignment="1">
      <alignment horizontal="left" wrapText="1"/>
    </xf>
    <xf numFmtId="0" fontId="0" fillId="0" borderId="23" xfId="0" applyBorder="1" applyAlignment="1">
      <alignment/>
    </xf>
    <xf numFmtId="2" fontId="10" fillId="3" borderId="26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6" fillId="3" borderId="0" xfId="0" applyFont="1" applyFill="1" applyAlignment="1">
      <alignment vertical="top" wrapText="1"/>
    </xf>
    <xf numFmtId="0" fontId="10" fillId="4" borderId="22" xfId="0" applyFont="1" applyFill="1" applyBorder="1" applyAlignment="1" applyProtection="1">
      <alignment/>
      <protection locked="0"/>
    </xf>
    <xf numFmtId="0" fontId="0" fillId="4" borderId="27" xfId="0" applyFill="1" applyBorder="1" applyAlignment="1">
      <alignment/>
    </xf>
    <xf numFmtId="164" fontId="10" fillId="3" borderId="2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2" fontId="10" fillId="3" borderId="28" xfId="0" applyNumberFormat="1" applyFont="1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0" borderId="0" xfId="0" applyAlignment="1">
      <alignment/>
    </xf>
    <xf numFmtId="164" fontId="10" fillId="3" borderId="26" xfId="0" applyNumberFormat="1" applyFont="1" applyFill="1" applyBorder="1" applyAlignment="1">
      <alignment vertical="center"/>
    </xf>
    <xf numFmtId="0" fontId="0" fillId="4" borderId="23" xfId="0" applyFill="1" applyBorder="1" applyAlignment="1">
      <alignment/>
    </xf>
    <xf numFmtId="2" fontId="10" fillId="3" borderId="0" xfId="0" applyNumberFormat="1" applyFont="1" applyFill="1" applyBorder="1" applyAlignment="1">
      <alignment/>
    </xf>
    <xf numFmtId="2" fontId="10" fillId="3" borderId="26" xfId="0" applyNumberFormat="1" applyFont="1" applyFill="1" applyBorder="1" applyAlignment="1">
      <alignment/>
    </xf>
    <xf numFmtId="1" fontId="10" fillId="3" borderId="26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10" fillId="4" borderId="26" xfId="0" applyNumberFormat="1" applyFont="1" applyFill="1" applyBorder="1" applyAlignment="1" applyProtection="1">
      <alignment/>
      <protection locked="0"/>
    </xf>
    <xf numFmtId="164" fontId="10" fillId="4" borderId="2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10" fillId="3" borderId="26" xfId="0" applyFont="1" applyFill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164" fontId="10" fillId="3" borderId="26" xfId="0" applyNumberFormat="1" applyFont="1" applyFill="1" applyBorder="1" applyAlignment="1">
      <alignment/>
    </xf>
    <xf numFmtId="164" fontId="10" fillId="3" borderId="20" xfId="0" applyNumberFormat="1" applyFont="1" applyFill="1" applyBorder="1" applyAlignment="1">
      <alignment/>
    </xf>
    <xf numFmtId="1" fontId="10" fillId="4" borderId="26" xfId="0" applyNumberFormat="1" applyFont="1" applyFill="1" applyBorder="1" applyAlignment="1">
      <alignment horizontal="right"/>
    </xf>
    <xf numFmtId="0" fontId="0" fillId="4" borderId="20" xfId="0" applyFill="1" applyBorder="1" applyAlignment="1">
      <alignment/>
    </xf>
    <xf numFmtId="0" fontId="10" fillId="4" borderId="22" xfId="0" applyFont="1" applyFill="1" applyBorder="1" applyAlignment="1">
      <alignment/>
    </xf>
    <xf numFmtId="0" fontId="10" fillId="4" borderId="27" xfId="0" applyFont="1" applyFill="1" applyBorder="1" applyAlignment="1">
      <alignment/>
    </xf>
    <xf numFmtId="0" fontId="10" fillId="4" borderId="23" xfId="0" applyFont="1" applyFill="1" applyBorder="1" applyAlignment="1">
      <alignment/>
    </xf>
    <xf numFmtId="1" fontId="10" fillId="3" borderId="26" xfId="0" applyNumberFormat="1" applyFont="1" applyFill="1" applyBorder="1" applyAlignment="1">
      <alignment horizontal="right" vertical="center"/>
    </xf>
    <xf numFmtId="1" fontId="10" fillId="3" borderId="20" xfId="0" applyNumberFormat="1" applyFont="1" applyFill="1" applyBorder="1" applyAlignment="1">
      <alignment horizontal="right"/>
    </xf>
    <xf numFmtId="0" fontId="12" fillId="3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0" fillId="0" borderId="32" xfId="0" applyBorder="1" applyAlignment="1">
      <alignment/>
    </xf>
    <xf numFmtId="167" fontId="10" fillId="4" borderId="26" xfId="0" applyNumberFormat="1" applyFont="1" applyFill="1" applyBorder="1" applyAlignment="1" applyProtection="1">
      <alignment/>
      <protection locked="0"/>
    </xf>
    <xf numFmtId="167" fontId="0" fillId="4" borderId="20" xfId="0" applyNumberFormat="1" applyFill="1" applyBorder="1" applyAlignment="1">
      <alignment/>
    </xf>
    <xf numFmtId="2" fontId="10" fillId="3" borderId="26" xfId="0" applyNumberFormat="1" applyFont="1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2" fontId="0" fillId="0" borderId="20" xfId="0" applyNumberFormat="1" applyBorder="1" applyAlignment="1">
      <alignment/>
    </xf>
    <xf numFmtId="2" fontId="10" fillId="4" borderId="26" xfId="0" applyNumberFormat="1" applyFont="1" applyFill="1" applyBorder="1" applyAlignment="1" applyProtection="1">
      <alignment/>
      <protection locked="0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10" fillId="3" borderId="26" xfId="0" applyNumberFormat="1" applyFont="1" applyFill="1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6" fillId="3" borderId="0" xfId="0" applyFont="1" applyFill="1" applyAlignment="1">
      <alignment wrapText="1"/>
    </xf>
    <xf numFmtId="2" fontId="10" fillId="3" borderId="26" xfId="0" applyNumberFormat="1" applyFont="1" applyFill="1" applyBorder="1" applyAlignment="1" applyProtection="1">
      <alignment horizontal="right"/>
      <protection/>
    </xf>
    <xf numFmtId="2" fontId="0" fillId="3" borderId="20" xfId="0" applyNumberFormat="1" applyFill="1" applyBorder="1" applyAlignment="1" applyProtection="1">
      <alignment horizontal="right"/>
      <protection/>
    </xf>
    <xf numFmtId="2" fontId="10" fillId="3" borderId="26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164" fontId="10" fillId="3" borderId="26" xfId="0" applyNumberFormat="1" applyFont="1" applyFill="1" applyBorder="1" applyAlignment="1">
      <alignment horizontal="right"/>
    </xf>
    <xf numFmtId="164" fontId="0" fillId="3" borderId="20" xfId="0" applyNumberFormat="1" applyFill="1" applyBorder="1" applyAlignment="1">
      <alignment horizontal="right"/>
    </xf>
    <xf numFmtId="9" fontId="10" fillId="4" borderId="26" xfId="0" applyNumberFormat="1" applyFont="1" applyFill="1" applyBorder="1" applyAlignment="1">
      <alignment/>
    </xf>
    <xf numFmtId="0" fontId="10" fillId="4" borderId="20" xfId="0" applyFont="1" applyFill="1" applyBorder="1" applyAlignment="1">
      <alignment/>
    </xf>
    <xf numFmtId="2" fontId="10" fillId="4" borderId="26" xfId="0" applyNumberFormat="1" applyFont="1" applyFill="1" applyBorder="1" applyAlignment="1" applyProtection="1">
      <alignment/>
      <protection locked="0"/>
    </xf>
    <xf numFmtId="2" fontId="17" fillId="3" borderId="26" xfId="0" applyNumberFormat="1" applyFont="1" applyFill="1" applyBorder="1" applyAlignment="1">
      <alignment/>
    </xf>
    <xf numFmtId="0" fontId="17" fillId="3" borderId="20" xfId="0" applyFont="1" applyFill="1" applyBorder="1" applyAlignment="1">
      <alignment/>
    </xf>
    <xf numFmtId="0" fontId="10" fillId="4" borderId="2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0" fillId="4" borderId="26" xfId="0" applyFont="1" applyFill="1" applyBorder="1" applyAlignment="1">
      <alignment/>
    </xf>
    <xf numFmtId="0" fontId="10" fillId="4" borderId="20" xfId="0" applyFont="1" applyFill="1" applyBorder="1" applyAlignment="1">
      <alignment/>
    </xf>
    <xf numFmtId="0" fontId="0" fillId="3" borderId="2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97</xdr:row>
      <xdr:rowOff>190500</xdr:rowOff>
    </xdr:from>
    <xdr:to>
      <xdr:col>5</xdr:col>
      <xdr:colOff>914400</xdr:colOff>
      <xdr:row>97</xdr:row>
      <xdr:rowOff>190500</xdr:rowOff>
    </xdr:to>
    <xdr:sp>
      <xdr:nvSpPr>
        <xdr:cNvPr id="1" name="Line 3"/>
        <xdr:cNvSpPr>
          <a:spLocks/>
        </xdr:cNvSpPr>
      </xdr:nvSpPr>
      <xdr:spPr>
        <a:xfrm>
          <a:off x="5086350" y="22164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571500</xdr:colOff>
      <xdr:row>105</xdr:row>
      <xdr:rowOff>0</xdr:rowOff>
    </xdr:from>
    <xdr:to>
      <xdr:col>21</xdr:col>
      <xdr:colOff>514350</xdr:colOff>
      <xdr:row>105</xdr:row>
      <xdr:rowOff>0</xdr:rowOff>
    </xdr:to>
    <xdr:sp>
      <xdr:nvSpPr>
        <xdr:cNvPr id="2" name="Line 4"/>
        <xdr:cNvSpPr>
          <a:spLocks/>
        </xdr:cNvSpPr>
      </xdr:nvSpPr>
      <xdr:spPr>
        <a:xfrm>
          <a:off x="14525625" y="238315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105</xdr:row>
      <xdr:rowOff>0</xdr:rowOff>
    </xdr:from>
    <xdr:to>
      <xdr:col>23</xdr:col>
      <xdr:colOff>190500</xdr:colOff>
      <xdr:row>105</xdr:row>
      <xdr:rowOff>0</xdr:rowOff>
    </xdr:to>
    <xdr:sp>
      <xdr:nvSpPr>
        <xdr:cNvPr id="3" name="Line 5"/>
        <xdr:cNvSpPr>
          <a:spLocks/>
        </xdr:cNvSpPr>
      </xdr:nvSpPr>
      <xdr:spPr>
        <a:xfrm>
          <a:off x="14611350" y="238315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105</xdr:row>
      <xdr:rowOff>0</xdr:rowOff>
    </xdr:from>
    <xdr:to>
      <xdr:col>23</xdr:col>
      <xdr:colOff>114300</xdr:colOff>
      <xdr:row>105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15011400" y="238315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86</xdr:row>
      <xdr:rowOff>190500</xdr:rowOff>
    </xdr:from>
    <xdr:to>
      <xdr:col>5</xdr:col>
      <xdr:colOff>914400</xdr:colOff>
      <xdr:row>86</xdr:row>
      <xdr:rowOff>190500</xdr:rowOff>
    </xdr:to>
    <xdr:sp>
      <xdr:nvSpPr>
        <xdr:cNvPr id="5" name="Line 8"/>
        <xdr:cNvSpPr>
          <a:spLocks/>
        </xdr:cNvSpPr>
      </xdr:nvSpPr>
      <xdr:spPr>
        <a:xfrm flipV="1">
          <a:off x="4514850" y="197167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295275</xdr:colOff>
      <xdr:row>70</xdr:row>
      <xdr:rowOff>0</xdr:rowOff>
    </xdr:from>
    <xdr:to>
      <xdr:col>23</xdr:col>
      <xdr:colOff>323850</xdr:colOff>
      <xdr:row>70</xdr:row>
      <xdr:rowOff>0</xdr:rowOff>
    </xdr:to>
    <xdr:sp>
      <xdr:nvSpPr>
        <xdr:cNvPr id="6" name="Line 13"/>
        <xdr:cNvSpPr>
          <a:spLocks/>
        </xdr:cNvSpPr>
      </xdr:nvSpPr>
      <xdr:spPr>
        <a:xfrm flipV="1">
          <a:off x="14249400" y="161353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57</xdr:row>
      <xdr:rowOff>190500</xdr:rowOff>
    </xdr:from>
    <xdr:to>
      <xdr:col>10</xdr:col>
      <xdr:colOff>0</xdr:colOff>
      <xdr:row>57</xdr:row>
      <xdr:rowOff>190500</xdr:rowOff>
    </xdr:to>
    <xdr:sp>
      <xdr:nvSpPr>
        <xdr:cNvPr id="7" name="Line 14"/>
        <xdr:cNvSpPr>
          <a:spLocks/>
        </xdr:cNvSpPr>
      </xdr:nvSpPr>
      <xdr:spPr>
        <a:xfrm flipV="1">
          <a:off x="5934075" y="1263015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70</xdr:row>
      <xdr:rowOff>0</xdr:rowOff>
    </xdr:from>
    <xdr:to>
      <xdr:col>20</xdr:col>
      <xdr:colOff>581025</xdr:colOff>
      <xdr:row>70</xdr:row>
      <xdr:rowOff>0</xdr:rowOff>
    </xdr:to>
    <xdr:sp>
      <xdr:nvSpPr>
        <xdr:cNvPr id="8" name="Line 18"/>
        <xdr:cNvSpPr>
          <a:spLocks/>
        </xdr:cNvSpPr>
      </xdr:nvSpPr>
      <xdr:spPr>
        <a:xfrm>
          <a:off x="13620750" y="161353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55</xdr:row>
      <xdr:rowOff>200025</xdr:rowOff>
    </xdr:from>
    <xdr:to>
      <xdr:col>10</xdr:col>
      <xdr:colOff>9525</xdr:colOff>
      <xdr:row>55</xdr:row>
      <xdr:rowOff>200025</xdr:rowOff>
    </xdr:to>
    <xdr:sp>
      <xdr:nvSpPr>
        <xdr:cNvPr id="9" name="Line 19"/>
        <xdr:cNvSpPr>
          <a:spLocks/>
        </xdr:cNvSpPr>
      </xdr:nvSpPr>
      <xdr:spPr>
        <a:xfrm flipV="1">
          <a:off x="5924550" y="12011025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63</xdr:row>
      <xdr:rowOff>152400</xdr:rowOff>
    </xdr:from>
    <xdr:to>
      <xdr:col>21</xdr:col>
      <xdr:colOff>295275</xdr:colOff>
      <xdr:row>63</xdr:row>
      <xdr:rowOff>152400</xdr:rowOff>
    </xdr:to>
    <xdr:sp>
      <xdr:nvSpPr>
        <xdr:cNvPr id="10" name="Line 20"/>
        <xdr:cNvSpPr>
          <a:spLocks/>
        </xdr:cNvSpPr>
      </xdr:nvSpPr>
      <xdr:spPr>
        <a:xfrm flipV="1">
          <a:off x="14573250" y="142875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70</xdr:row>
      <xdr:rowOff>0</xdr:rowOff>
    </xdr:from>
    <xdr:to>
      <xdr:col>21</xdr:col>
      <xdr:colOff>133350</xdr:colOff>
      <xdr:row>70</xdr:row>
      <xdr:rowOff>0</xdr:rowOff>
    </xdr:to>
    <xdr:sp>
      <xdr:nvSpPr>
        <xdr:cNvPr id="11" name="Line 21"/>
        <xdr:cNvSpPr>
          <a:spLocks/>
        </xdr:cNvSpPr>
      </xdr:nvSpPr>
      <xdr:spPr>
        <a:xfrm flipV="1">
          <a:off x="14020800" y="161353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352425</xdr:colOff>
      <xdr:row>70</xdr:row>
      <xdr:rowOff>0</xdr:rowOff>
    </xdr:from>
    <xdr:to>
      <xdr:col>21</xdr:col>
      <xdr:colOff>361950</xdr:colOff>
      <xdr:row>70</xdr:row>
      <xdr:rowOff>0</xdr:rowOff>
    </xdr:to>
    <xdr:sp>
      <xdr:nvSpPr>
        <xdr:cNvPr id="12" name="Line 22"/>
        <xdr:cNvSpPr>
          <a:spLocks/>
        </xdr:cNvSpPr>
      </xdr:nvSpPr>
      <xdr:spPr>
        <a:xfrm flipV="1">
          <a:off x="14306550" y="161353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84</xdr:row>
      <xdr:rowOff>180975</xdr:rowOff>
    </xdr:from>
    <xdr:to>
      <xdr:col>5</xdr:col>
      <xdr:colOff>914400</xdr:colOff>
      <xdr:row>84</xdr:row>
      <xdr:rowOff>180975</xdr:rowOff>
    </xdr:to>
    <xdr:sp>
      <xdr:nvSpPr>
        <xdr:cNvPr id="13" name="Line 24"/>
        <xdr:cNvSpPr>
          <a:spLocks/>
        </xdr:cNvSpPr>
      </xdr:nvSpPr>
      <xdr:spPr>
        <a:xfrm flipV="1">
          <a:off x="5257800" y="191833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59</xdr:row>
      <xdr:rowOff>190500</xdr:rowOff>
    </xdr:from>
    <xdr:to>
      <xdr:col>10</xdr:col>
      <xdr:colOff>0</xdr:colOff>
      <xdr:row>59</xdr:row>
      <xdr:rowOff>190500</xdr:rowOff>
    </xdr:to>
    <xdr:sp>
      <xdr:nvSpPr>
        <xdr:cNvPr id="14" name="Line 25"/>
        <xdr:cNvSpPr>
          <a:spLocks/>
        </xdr:cNvSpPr>
      </xdr:nvSpPr>
      <xdr:spPr>
        <a:xfrm>
          <a:off x="5934075" y="1323975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53</xdr:row>
      <xdr:rowOff>190500</xdr:rowOff>
    </xdr:from>
    <xdr:to>
      <xdr:col>10</xdr:col>
      <xdr:colOff>28575</xdr:colOff>
      <xdr:row>53</xdr:row>
      <xdr:rowOff>190500</xdr:rowOff>
    </xdr:to>
    <xdr:sp>
      <xdr:nvSpPr>
        <xdr:cNvPr id="15" name="Line 26"/>
        <xdr:cNvSpPr>
          <a:spLocks/>
        </xdr:cNvSpPr>
      </xdr:nvSpPr>
      <xdr:spPr>
        <a:xfrm flipV="1">
          <a:off x="5924550" y="113728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22</xdr:row>
      <xdr:rowOff>0</xdr:rowOff>
    </xdr:from>
    <xdr:to>
      <xdr:col>16</xdr:col>
      <xdr:colOff>409575</xdr:colOff>
      <xdr:row>41</xdr:row>
      <xdr:rowOff>66675</xdr:rowOff>
    </xdr:to>
    <xdr:pic>
      <xdr:nvPicPr>
        <xdr:cNvPr id="1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5638800"/>
          <a:ext cx="75628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0"/>
  <sheetViews>
    <sheetView view="pageBreakPreview" zoomScaleSheetLayoutView="100" workbookViewId="0" topLeftCell="A10">
      <selection activeCell="F14" sqref="F14"/>
    </sheetView>
  </sheetViews>
  <sheetFormatPr defaultColWidth="9.140625" defaultRowHeight="33" customHeight="1"/>
  <cols>
    <col min="1" max="1" width="2.140625" style="0" customWidth="1"/>
    <col min="2" max="3" width="20.7109375" style="0" customWidth="1"/>
    <col min="4" max="4" width="5.57421875" style="0" customWidth="1"/>
    <col min="5" max="6" width="20.7109375" style="0" customWidth="1"/>
    <col min="7" max="7" width="5.7109375" style="0" customWidth="1"/>
    <col min="8" max="9" width="20.7109375" style="0" customWidth="1"/>
    <col min="10" max="10" width="5.7109375" style="0" customWidth="1"/>
    <col min="11" max="12" width="20.7109375" style="0" customWidth="1"/>
  </cols>
  <sheetData>
    <row r="1" spans="2:12" ht="21" customHeight="1">
      <c r="B1" s="268" t="s">
        <v>165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2:12" ht="21" customHeight="1">
      <c r="B2" s="268" t="s">
        <v>168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2:9" ht="16.5" customHeight="1" thickBot="1">
      <c r="B3" s="206"/>
      <c r="C3" s="206"/>
      <c r="D3" s="206"/>
      <c r="E3" s="206"/>
      <c r="F3" s="206"/>
      <c r="H3" s="206"/>
      <c r="I3" s="206"/>
    </row>
    <row r="4" spans="2:12" ht="45.75" customHeight="1" thickBot="1">
      <c r="B4" s="207" t="s">
        <v>166</v>
      </c>
      <c r="C4" s="208" t="s">
        <v>167</v>
      </c>
      <c r="E4" s="207" t="s">
        <v>166</v>
      </c>
      <c r="F4" s="208" t="s">
        <v>167</v>
      </c>
      <c r="H4" s="207" t="s">
        <v>166</v>
      </c>
      <c r="I4" s="208" t="s">
        <v>167</v>
      </c>
      <c r="K4" s="207" t="s">
        <v>166</v>
      </c>
      <c r="L4" s="208" t="s">
        <v>167</v>
      </c>
    </row>
    <row r="5" spans="2:12" ht="45.75" customHeight="1" thickTop="1">
      <c r="B5" s="88">
        <v>0</v>
      </c>
      <c r="C5" s="89">
        <f aca="true" t="shared" si="0" ref="C5:C34">0.858*B5^3-0.78*B5^2+0.774*B5+0.04</f>
        <v>0.04</v>
      </c>
      <c r="D5" s="87"/>
      <c r="E5" s="88">
        <v>0.3</v>
      </c>
      <c r="F5" s="89">
        <f aca="true" t="shared" si="1" ref="F5:F24">0.858*E5^3-0.78*E5^2+0.774*E5+0.04</f>
        <v>0.225166</v>
      </c>
      <c r="H5" s="88">
        <v>0.6</v>
      </c>
      <c r="I5" s="89">
        <f aca="true" t="shared" si="2" ref="I5:I34">0.858*H5^3-0.78*H5^2+0.774*H5+0.04</f>
        <v>0.40892799999999996</v>
      </c>
      <c r="K5" s="88">
        <v>0.9</v>
      </c>
      <c r="L5" s="89">
        <f aca="true" t="shared" si="3" ref="L5:L15">0.858*K5^3-0.78*K5^2+0.774*K5+0.04</f>
        <v>0.7302820000000001</v>
      </c>
    </row>
    <row r="6" spans="2:12" ht="45.75" customHeight="1">
      <c r="B6" s="88">
        <v>0.01</v>
      </c>
      <c r="C6" s="89">
        <f t="shared" si="0"/>
        <v>0.047662858</v>
      </c>
      <c r="D6" s="87"/>
      <c r="E6" s="88">
        <v>0.31</v>
      </c>
      <c r="F6" s="89">
        <f t="shared" si="1"/>
        <v>0.23054267800000003</v>
      </c>
      <c r="H6" s="88">
        <v>0.61</v>
      </c>
      <c r="I6" s="89">
        <f t="shared" si="2"/>
        <v>0.41665169799999996</v>
      </c>
      <c r="K6" s="88">
        <v>0.91</v>
      </c>
      <c r="L6" s="89">
        <f t="shared" si="3"/>
        <v>0.7449859180000001</v>
      </c>
    </row>
    <row r="7" spans="2:12" ht="45.75" customHeight="1">
      <c r="B7" s="88">
        <v>0.02</v>
      </c>
      <c r="C7" s="89">
        <f t="shared" si="0"/>
        <v>0.055174864000000004</v>
      </c>
      <c r="D7" s="87"/>
      <c r="E7" s="88">
        <v>0.32</v>
      </c>
      <c r="F7" s="89">
        <f t="shared" si="1"/>
        <v>0.235922944</v>
      </c>
      <c r="H7" s="88">
        <v>0.62</v>
      </c>
      <c r="I7" s="89">
        <f t="shared" si="2"/>
        <v>0.424533424</v>
      </c>
      <c r="K7" s="88">
        <v>0.92</v>
      </c>
      <c r="L7" s="89">
        <f t="shared" si="3"/>
        <v>0.7600023040000001</v>
      </c>
    </row>
    <row r="8" spans="2:12" ht="45.75" customHeight="1">
      <c r="B8" s="88">
        <v>0.03</v>
      </c>
      <c r="C8" s="89">
        <f t="shared" si="0"/>
        <v>0.06254116600000001</v>
      </c>
      <c r="D8" s="87"/>
      <c r="E8" s="88">
        <v>0.33</v>
      </c>
      <c r="F8" s="89">
        <f t="shared" si="1"/>
        <v>0.24131194600000003</v>
      </c>
      <c r="H8" s="88">
        <v>0.63</v>
      </c>
      <c r="I8" s="89">
        <f t="shared" si="2"/>
        <v>0.43257832599999996</v>
      </c>
      <c r="K8" s="88">
        <v>0.93</v>
      </c>
      <c r="L8" s="89">
        <f t="shared" si="3"/>
        <v>0.7753363059999999</v>
      </c>
    </row>
    <row r="9" spans="2:12" ht="45.75" customHeight="1">
      <c r="B9" s="88">
        <v>0.04</v>
      </c>
      <c r="C9" s="89">
        <f t="shared" si="0"/>
        <v>0.069766912</v>
      </c>
      <c r="D9" s="87"/>
      <c r="E9" s="88">
        <v>0.34</v>
      </c>
      <c r="F9" s="89">
        <f t="shared" si="1"/>
        <v>0.246714832</v>
      </c>
      <c r="H9" s="88">
        <v>0.64</v>
      </c>
      <c r="I9" s="89">
        <f t="shared" si="2"/>
        <v>0.440791552</v>
      </c>
      <c r="K9" s="88">
        <v>0.94</v>
      </c>
      <c r="L9" s="89">
        <f t="shared" si="3"/>
        <v>0.790993072</v>
      </c>
    </row>
    <row r="10" spans="2:12" ht="45.75" customHeight="1">
      <c r="B10" s="88">
        <v>0.05</v>
      </c>
      <c r="C10" s="89">
        <f t="shared" si="0"/>
        <v>0.07685725000000002</v>
      </c>
      <c r="D10" s="87"/>
      <c r="E10" s="88">
        <v>0.35</v>
      </c>
      <c r="F10" s="89">
        <f t="shared" si="1"/>
        <v>0.25213674999999997</v>
      </c>
      <c r="H10" s="88">
        <v>0.65</v>
      </c>
      <c r="I10" s="89">
        <f t="shared" si="2"/>
        <v>0.44917824999999995</v>
      </c>
      <c r="K10" s="88">
        <v>0.95</v>
      </c>
      <c r="L10" s="89">
        <f t="shared" si="3"/>
        <v>0.8069777499999999</v>
      </c>
    </row>
    <row r="11" spans="2:12" ht="45.75" customHeight="1">
      <c r="B11" s="88">
        <v>0.06</v>
      </c>
      <c r="C11" s="89">
        <f t="shared" si="0"/>
        <v>0.083817328</v>
      </c>
      <c r="D11" s="87"/>
      <c r="E11" s="88">
        <v>0.36</v>
      </c>
      <c r="F11" s="89">
        <f t="shared" si="1"/>
        <v>0.257582848</v>
      </c>
      <c r="H11" s="88">
        <v>0.66</v>
      </c>
      <c r="I11" s="89">
        <f t="shared" si="2"/>
        <v>0.457743568</v>
      </c>
      <c r="K11" s="88">
        <v>0.96</v>
      </c>
      <c r="L11" s="89">
        <f t="shared" si="3"/>
        <v>0.823295488</v>
      </c>
    </row>
    <row r="12" spans="2:12" ht="45.75" customHeight="1">
      <c r="B12" s="88">
        <v>0.07</v>
      </c>
      <c r="C12" s="89">
        <f t="shared" si="0"/>
        <v>0.09065229400000001</v>
      </c>
      <c r="D12" s="87"/>
      <c r="E12" s="88">
        <v>0.37</v>
      </c>
      <c r="F12" s="89">
        <f t="shared" si="1"/>
        <v>0.263058274</v>
      </c>
      <c r="H12" s="88">
        <v>0.67</v>
      </c>
      <c r="I12" s="89">
        <f t="shared" si="2"/>
        <v>0.466492654</v>
      </c>
      <c r="K12" s="88">
        <v>0.97</v>
      </c>
      <c r="L12" s="89">
        <f t="shared" si="3"/>
        <v>0.839951434</v>
      </c>
    </row>
    <row r="13" spans="2:12" ht="45.75" customHeight="1">
      <c r="B13" s="88">
        <v>0.08</v>
      </c>
      <c r="C13" s="89">
        <f t="shared" si="0"/>
        <v>0.09736729599999999</v>
      </c>
      <c r="D13" s="87"/>
      <c r="E13" s="88">
        <v>0.38</v>
      </c>
      <c r="F13" s="89">
        <f t="shared" si="1"/>
        <v>0.268568176</v>
      </c>
      <c r="H13" s="88">
        <v>0.68</v>
      </c>
      <c r="I13" s="89">
        <f t="shared" si="2"/>
        <v>0.47543065599999995</v>
      </c>
      <c r="K13" s="88">
        <v>0.98</v>
      </c>
      <c r="L13" s="89">
        <f t="shared" si="3"/>
        <v>0.8569507359999999</v>
      </c>
    </row>
    <row r="14" spans="2:12" ht="45.75" customHeight="1">
      <c r="B14" s="209">
        <v>0.09</v>
      </c>
      <c r="C14" s="210">
        <f t="shared" si="0"/>
        <v>0.103967482</v>
      </c>
      <c r="D14" s="87"/>
      <c r="E14" s="209">
        <v>0.39</v>
      </c>
      <c r="F14" s="210">
        <f t="shared" si="1"/>
        <v>0.274117702</v>
      </c>
      <c r="H14" s="209">
        <v>0.69</v>
      </c>
      <c r="I14" s="210">
        <f t="shared" si="2"/>
        <v>0.48456272199999995</v>
      </c>
      <c r="K14" s="88">
        <v>0.99</v>
      </c>
      <c r="L14" s="89">
        <f t="shared" si="3"/>
        <v>0.874298542</v>
      </c>
    </row>
    <row r="15" spans="2:12" ht="45.75" customHeight="1" thickBot="1">
      <c r="B15" s="88">
        <v>0.1</v>
      </c>
      <c r="C15" s="89">
        <f t="shared" si="0"/>
        <v>0.110458</v>
      </c>
      <c r="D15" s="87"/>
      <c r="E15" s="88">
        <v>0.4</v>
      </c>
      <c r="F15" s="89">
        <f t="shared" si="1"/>
        <v>0.279712</v>
      </c>
      <c r="H15" s="88">
        <v>0.7</v>
      </c>
      <c r="I15" s="89">
        <f t="shared" si="2"/>
        <v>0.4938939999999999</v>
      </c>
      <c r="K15" s="90">
        <v>1</v>
      </c>
      <c r="L15" s="91">
        <f t="shared" si="3"/>
        <v>0.892</v>
      </c>
    </row>
    <row r="16" spans="2:9" ht="45.75" customHeight="1">
      <c r="B16" s="88">
        <v>0.11</v>
      </c>
      <c r="C16" s="89">
        <f t="shared" si="0"/>
        <v>0.116843998</v>
      </c>
      <c r="D16" s="87"/>
      <c r="E16" s="88">
        <v>0.41</v>
      </c>
      <c r="F16" s="89">
        <f t="shared" si="1"/>
        <v>0.285356218</v>
      </c>
      <c r="H16" s="88">
        <v>0.71</v>
      </c>
      <c r="I16" s="89">
        <f t="shared" si="2"/>
        <v>0.5034296380000001</v>
      </c>
    </row>
    <row r="17" spans="2:9" ht="45.75" customHeight="1">
      <c r="B17" s="88">
        <v>0.12</v>
      </c>
      <c r="C17" s="89">
        <f t="shared" si="0"/>
        <v>0.123130624</v>
      </c>
      <c r="D17" s="87"/>
      <c r="E17" s="88">
        <v>0.42</v>
      </c>
      <c r="F17" s="89">
        <f t="shared" si="1"/>
        <v>0.29105550399999996</v>
      </c>
      <c r="H17" s="88">
        <v>0.72</v>
      </c>
      <c r="I17" s="89">
        <f t="shared" si="2"/>
        <v>0.5131747839999999</v>
      </c>
    </row>
    <row r="18" spans="2:9" ht="45.75" customHeight="1">
      <c r="B18" s="88">
        <v>0.13</v>
      </c>
      <c r="C18" s="89">
        <f t="shared" si="0"/>
        <v>0.129323026</v>
      </c>
      <c r="D18" s="87"/>
      <c r="E18" s="88">
        <v>0.43</v>
      </c>
      <c r="F18" s="89">
        <f t="shared" si="1"/>
        <v>0.296815006</v>
      </c>
      <c r="H18" s="88">
        <v>0.73</v>
      </c>
      <c r="I18" s="89">
        <f t="shared" si="2"/>
        <v>0.523134586</v>
      </c>
    </row>
    <row r="19" spans="2:9" ht="45.75" customHeight="1">
      <c r="B19" s="88">
        <v>0.14</v>
      </c>
      <c r="C19" s="89">
        <f t="shared" si="0"/>
        <v>0.135426352</v>
      </c>
      <c r="D19" s="87"/>
      <c r="E19" s="88">
        <v>0.44</v>
      </c>
      <c r="F19" s="89">
        <f t="shared" si="1"/>
        <v>0.30263987200000003</v>
      </c>
      <c r="H19" s="88">
        <v>0.74</v>
      </c>
      <c r="I19" s="89">
        <f t="shared" si="2"/>
        <v>0.533314192</v>
      </c>
    </row>
    <row r="20" spans="2:9" ht="45.75" customHeight="1">
      <c r="B20" s="88">
        <v>0.15</v>
      </c>
      <c r="C20" s="89">
        <f t="shared" si="0"/>
        <v>0.14144575</v>
      </c>
      <c r="D20" s="87"/>
      <c r="E20" s="88">
        <v>0.45</v>
      </c>
      <c r="F20" s="89">
        <f t="shared" si="1"/>
        <v>0.30853525</v>
      </c>
      <c r="H20" s="88">
        <v>0.75</v>
      </c>
      <c r="I20" s="89">
        <f t="shared" si="2"/>
        <v>0.54371875</v>
      </c>
    </row>
    <row r="21" spans="2:9" ht="45.75" customHeight="1">
      <c r="B21" s="88">
        <v>0.16</v>
      </c>
      <c r="C21" s="89">
        <f t="shared" si="0"/>
        <v>0.14738636800000002</v>
      </c>
      <c r="D21" s="87"/>
      <c r="E21" s="88">
        <v>0.46</v>
      </c>
      <c r="F21" s="89">
        <f t="shared" si="1"/>
        <v>0.314506288</v>
      </c>
      <c r="H21" s="88">
        <v>0.76</v>
      </c>
      <c r="I21" s="89">
        <f t="shared" si="2"/>
        <v>0.554353408</v>
      </c>
    </row>
    <row r="22" spans="2:9" ht="45.75" customHeight="1">
      <c r="B22" s="88">
        <v>0.17</v>
      </c>
      <c r="C22" s="89">
        <f t="shared" si="0"/>
        <v>0.153253354</v>
      </c>
      <c r="D22" s="87"/>
      <c r="E22" s="88">
        <v>0.47</v>
      </c>
      <c r="F22" s="89">
        <f t="shared" si="1"/>
        <v>0.320558134</v>
      </c>
      <c r="H22" s="88">
        <v>0.77</v>
      </c>
      <c r="I22" s="89">
        <f t="shared" si="2"/>
        <v>0.5652233140000001</v>
      </c>
    </row>
    <row r="23" spans="2:9" ht="45.75" customHeight="1">
      <c r="B23" s="88">
        <v>0.18</v>
      </c>
      <c r="C23" s="89">
        <f t="shared" si="0"/>
        <v>0.159051856</v>
      </c>
      <c r="D23" s="87"/>
      <c r="E23" s="88">
        <v>0.48</v>
      </c>
      <c r="F23" s="89">
        <f t="shared" si="1"/>
        <v>0.32669593599999996</v>
      </c>
      <c r="H23" s="88">
        <v>0.78</v>
      </c>
      <c r="I23" s="89">
        <f t="shared" si="2"/>
        <v>0.5763336160000001</v>
      </c>
    </row>
    <row r="24" spans="2:9" ht="45.75" customHeight="1">
      <c r="B24" s="209">
        <v>0.19</v>
      </c>
      <c r="C24" s="210">
        <f t="shared" si="0"/>
        <v>0.164787022</v>
      </c>
      <c r="D24" s="87"/>
      <c r="E24" s="209">
        <v>0.49</v>
      </c>
      <c r="F24" s="210">
        <f t="shared" si="1"/>
        <v>0.33292484199999994</v>
      </c>
      <c r="H24" s="209">
        <v>0.79</v>
      </c>
      <c r="I24" s="210">
        <f t="shared" si="2"/>
        <v>0.5876894619999999</v>
      </c>
    </row>
    <row r="25" spans="2:9" ht="45.75" customHeight="1">
      <c r="B25" s="88">
        <v>0.2</v>
      </c>
      <c r="C25" s="89">
        <f t="shared" si="0"/>
        <v>0.17046400000000003</v>
      </c>
      <c r="D25" s="87"/>
      <c r="E25" s="88">
        <v>0.5</v>
      </c>
      <c r="F25" s="89">
        <f aca="true" t="shared" si="4" ref="F25:F34">0.858*E25^3-0.78*E25^2+0.774*E25+0.04</f>
        <v>0.33925</v>
      </c>
      <c r="H25" s="88">
        <v>0.8</v>
      </c>
      <c r="I25" s="89">
        <f t="shared" si="2"/>
        <v>0.599296</v>
      </c>
    </row>
    <row r="26" spans="2:9" ht="45.75" customHeight="1">
      <c r="B26" s="88">
        <v>0.21</v>
      </c>
      <c r="C26" s="89">
        <f t="shared" si="0"/>
        <v>0.176087938</v>
      </c>
      <c r="D26" s="87"/>
      <c r="E26" s="88">
        <v>0.51</v>
      </c>
      <c r="F26" s="89">
        <f t="shared" si="4"/>
        <v>0.345676558</v>
      </c>
      <c r="H26" s="88">
        <v>0.81</v>
      </c>
      <c r="I26" s="89">
        <f t="shared" si="2"/>
        <v>0.6111583780000001</v>
      </c>
    </row>
    <row r="27" spans="2:9" ht="45.75" customHeight="1">
      <c r="B27" s="88">
        <v>0.22</v>
      </c>
      <c r="C27" s="89">
        <f t="shared" si="0"/>
        <v>0.18166398400000003</v>
      </c>
      <c r="D27" s="87"/>
      <c r="E27" s="88">
        <v>0.52</v>
      </c>
      <c r="F27" s="89">
        <f t="shared" si="4"/>
        <v>0.352209664</v>
      </c>
      <c r="H27" s="88">
        <v>0.82</v>
      </c>
      <c r="I27" s="89">
        <f t="shared" si="2"/>
        <v>0.623281744</v>
      </c>
    </row>
    <row r="28" spans="2:9" ht="45.75" customHeight="1">
      <c r="B28" s="88">
        <v>0.23</v>
      </c>
      <c r="C28" s="89">
        <f t="shared" si="0"/>
        <v>0.18719728600000002</v>
      </c>
      <c r="D28" s="87"/>
      <c r="E28" s="88">
        <v>0.53</v>
      </c>
      <c r="F28" s="89">
        <f t="shared" si="4"/>
        <v>0.358854466</v>
      </c>
      <c r="H28" s="88">
        <v>0.83</v>
      </c>
      <c r="I28" s="89">
        <f t="shared" si="2"/>
        <v>0.635671246</v>
      </c>
    </row>
    <row r="29" spans="2:9" ht="45.75" customHeight="1">
      <c r="B29" s="88">
        <v>0.24</v>
      </c>
      <c r="C29" s="89">
        <f t="shared" si="0"/>
        <v>0.192692992</v>
      </c>
      <c r="D29" s="87"/>
      <c r="E29" s="88">
        <v>0.54</v>
      </c>
      <c r="F29" s="89">
        <f t="shared" si="4"/>
        <v>0.36561611200000005</v>
      </c>
      <c r="H29" s="88">
        <v>0.84</v>
      </c>
      <c r="I29" s="89">
        <f t="shared" si="2"/>
        <v>0.6483320319999999</v>
      </c>
    </row>
    <row r="30" spans="2:9" ht="45.75" customHeight="1">
      <c r="B30" s="88">
        <v>0.25</v>
      </c>
      <c r="C30" s="89">
        <f t="shared" si="0"/>
        <v>0.19815625</v>
      </c>
      <c r="D30" s="87"/>
      <c r="E30" s="88">
        <v>0.55</v>
      </c>
      <c r="F30" s="89">
        <f t="shared" si="4"/>
        <v>0.37249974999999996</v>
      </c>
      <c r="H30" s="88">
        <v>0.85</v>
      </c>
      <c r="I30" s="89">
        <f t="shared" si="2"/>
        <v>0.66126925</v>
      </c>
    </row>
    <row r="31" spans="2:9" ht="45.75" customHeight="1">
      <c r="B31" s="88">
        <v>0.26</v>
      </c>
      <c r="C31" s="89">
        <f t="shared" si="0"/>
        <v>0.20359220800000002</v>
      </c>
      <c r="D31" s="87"/>
      <c r="E31" s="88">
        <v>0.56</v>
      </c>
      <c r="F31" s="89">
        <f t="shared" si="4"/>
        <v>0.379510528</v>
      </c>
      <c r="H31" s="88">
        <v>0.86</v>
      </c>
      <c r="I31" s="89">
        <f t="shared" si="2"/>
        <v>0.6744880480000001</v>
      </c>
    </row>
    <row r="32" spans="2:9" ht="45.75" customHeight="1">
      <c r="B32" s="88">
        <v>0.27</v>
      </c>
      <c r="C32" s="89">
        <f t="shared" si="0"/>
        <v>0.20900601400000005</v>
      </c>
      <c r="D32" s="87"/>
      <c r="E32" s="88">
        <v>0.57</v>
      </c>
      <c r="F32" s="89">
        <f t="shared" si="4"/>
        <v>0.38665359399999993</v>
      </c>
      <c r="H32" s="88">
        <v>0.87</v>
      </c>
      <c r="I32" s="89">
        <f t="shared" si="2"/>
        <v>0.6879935739999999</v>
      </c>
    </row>
    <row r="33" spans="2:9" ht="45.75" customHeight="1">
      <c r="B33" s="88">
        <v>0.28</v>
      </c>
      <c r="C33" s="89">
        <f t="shared" si="0"/>
        <v>0.21440281600000002</v>
      </c>
      <c r="D33" s="87"/>
      <c r="E33" s="88">
        <v>0.58</v>
      </c>
      <c r="F33" s="89">
        <f t="shared" si="4"/>
        <v>0.3939340959999999</v>
      </c>
      <c r="H33" s="88">
        <v>0.88</v>
      </c>
      <c r="I33" s="89">
        <f t="shared" si="2"/>
        <v>0.7017909760000001</v>
      </c>
    </row>
    <row r="34" spans="2:9" ht="45.75" customHeight="1" thickBot="1">
      <c r="B34" s="90">
        <v>0.29</v>
      </c>
      <c r="C34" s="91">
        <f t="shared" si="0"/>
        <v>0.219787762</v>
      </c>
      <c r="D34" s="87"/>
      <c r="E34" s="90">
        <v>0.59</v>
      </c>
      <c r="F34" s="91">
        <f t="shared" si="4"/>
        <v>0.401357182</v>
      </c>
      <c r="H34" s="90">
        <v>0.89</v>
      </c>
      <c r="I34" s="91">
        <f t="shared" si="2"/>
        <v>0.7158854020000001</v>
      </c>
    </row>
    <row r="35" spans="4:6" ht="27.75" customHeight="1">
      <c r="D35" s="87"/>
      <c r="E35" s="211"/>
      <c r="F35" s="212"/>
    </row>
    <row r="36" spans="4:6" ht="27.75" customHeight="1">
      <c r="D36" s="87"/>
      <c r="E36" s="172"/>
      <c r="F36" s="213"/>
    </row>
    <row r="37" spans="4:6" ht="27.75" customHeight="1">
      <c r="D37" s="87"/>
      <c r="E37" s="172"/>
      <c r="F37" s="213"/>
    </row>
    <row r="38" spans="4:6" ht="27.75" customHeight="1">
      <c r="D38" s="87"/>
      <c r="E38" s="172"/>
      <c r="F38" s="213"/>
    </row>
    <row r="39" spans="4:6" ht="27.75" customHeight="1">
      <c r="D39" s="87"/>
      <c r="E39" s="172"/>
      <c r="F39" s="213"/>
    </row>
    <row r="40" spans="4:6" ht="27.75" customHeight="1">
      <c r="D40" s="87"/>
      <c r="E40" s="172"/>
      <c r="F40" s="213"/>
    </row>
    <row r="41" spans="4:6" ht="27.75" customHeight="1">
      <c r="D41" s="87"/>
      <c r="E41" s="172"/>
      <c r="F41" s="213"/>
    </row>
    <row r="42" spans="4:6" ht="27.75" customHeight="1">
      <c r="D42" s="87"/>
      <c r="E42" s="172"/>
      <c r="F42" s="213"/>
    </row>
    <row r="43" spans="4:6" ht="27.75" customHeight="1">
      <c r="D43" s="87"/>
      <c r="E43" s="172"/>
      <c r="F43" s="213"/>
    </row>
    <row r="44" spans="4:6" ht="27.75" customHeight="1">
      <c r="D44" s="87"/>
      <c r="E44" s="172"/>
      <c r="F44" s="213"/>
    </row>
    <row r="45" spans="4:6" ht="27.75" customHeight="1">
      <c r="D45" s="87"/>
      <c r="E45" s="172"/>
      <c r="F45" s="213"/>
    </row>
    <row r="46" spans="4:6" ht="27.75" customHeight="1">
      <c r="D46" s="87"/>
      <c r="E46" s="172"/>
      <c r="F46" s="213"/>
    </row>
    <row r="47" spans="4:6" ht="27.75" customHeight="1">
      <c r="D47" s="87"/>
      <c r="E47" s="172"/>
      <c r="F47" s="213"/>
    </row>
    <row r="48" spans="4:6" ht="27.75" customHeight="1">
      <c r="D48" s="87"/>
      <c r="E48" s="172"/>
      <c r="F48" s="213"/>
    </row>
    <row r="49" spans="4:6" ht="27.75" customHeight="1">
      <c r="D49" s="87"/>
      <c r="E49" s="172"/>
      <c r="F49" s="213"/>
    </row>
    <row r="50" spans="4:6" ht="27.75" customHeight="1">
      <c r="D50" s="87"/>
      <c r="E50" s="172"/>
      <c r="F50" s="213"/>
    </row>
    <row r="51" spans="4:6" ht="27.75" customHeight="1">
      <c r="D51" s="87"/>
      <c r="E51" s="172"/>
      <c r="F51" s="213"/>
    </row>
    <row r="52" spans="4:6" ht="27.75" customHeight="1">
      <c r="D52" s="87"/>
      <c r="E52" s="172"/>
      <c r="F52" s="213"/>
    </row>
    <row r="53" spans="4:6" ht="27.75" customHeight="1">
      <c r="D53" s="87"/>
      <c r="E53" s="172"/>
      <c r="F53" s="213"/>
    </row>
    <row r="54" spans="4:6" ht="27.75" customHeight="1">
      <c r="D54" s="87"/>
      <c r="E54" s="172"/>
      <c r="F54" s="213"/>
    </row>
    <row r="55" spans="4:6" ht="27.75" customHeight="1">
      <c r="D55" s="87"/>
      <c r="E55" s="172"/>
      <c r="F55" s="213"/>
    </row>
    <row r="56" spans="5:6" ht="33" customHeight="1">
      <c r="E56" s="1"/>
      <c r="F56" s="1"/>
    </row>
    <row r="57" spans="5:6" ht="33" customHeight="1">
      <c r="E57" s="1"/>
      <c r="F57" s="1"/>
    </row>
    <row r="58" spans="5:6" ht="33" customHeight="1">
      <c r="E58" s="1"/>
      <c r="F58" s="1"/>
    </row>
    <row r="59" spans="5:6" ht="33" customHeight="1">
      <c r="E59" s="1"/>
      <c r="F59" s="1"/>
    </row>
    <row r="60" spans="5:6" ht="33" customHeight="1">
      <c r="E60" s="1"/>
      <c r="F60" s="1"/>
    </row>
    <row r="107" ht="33" customHeight="1">
      <c r="C107" s="2"/>
    </row>
    <row r="108" ht="33" customHeight="1">
      <c r="C108" s="2"/>
    </row>
    <row r="109" ht="33" customHeight="1">
      <c r="C109" s="2"/>
    </row>
    <row r="110" ht="33" customHeight="1">
      <c r="C110" s="2"/>
    </row>
    <row r="111" ht="33" customHeight="1">
      <c r="C111" s="2"/>
    </row>
    <row r="112" ht="33" customHeight="1">
      <c r="C112" s="2"/>
    </row>
    <row r="113" ht="33" customHeight="1">
      <c r="C113" s="2"/>
    </row>
    <row r="114" ht="33" customHeight="1">
      <c r="C114" s="2"/>
    </row>
    <row r="115" ht="33" customHeight="1">
      <c r="C115" s="2"/>
    </row>
    <row r="116" ht="33" customHeight="1">
      <c r="C116" s="2"/>
    </row>
    <row r="117" ht="33" customHeight="1">
      <c r="C117" s="2"/>
    </row>
    <row r="118" ht="33" customHeight="1">
      <c r="C118" s="2"/>
    </row>
    <row r="119" ht="33" customHeight="1">
      <c r="C119" s="2"/>
    </row>
    <row r="120" ht="33" customHeight="1">
      <c r="C120" s="2"/>
    </row>
  </sheetData>
  <sheetProtection password="C928" sheet="1" objects="1" scenarios="1"/>
  <mergeCells count="2">
    <mergeCell ref="B1:L1"/>
    <mergeCell ref="B2:L2"/>
  </mergeCells>
  <printOptions/>
  <pageMargins left="0.88" right="0.25" top="0.61" bottom="0.21" header="0.27" footer="0.21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41"/>
  <sheetViews>
    <sheetView workbookViewId="0" topLeftCell="A1">
      <selection activeCell="D7" sqref="D7"/>
    </sheetView>
  </sheetViews>
  <sheetFormatPr defaultColWidth="9.140625" defaultRowHeight="12.75"/>
  <cols>
    <col min="2" max="2" width="22.8515625" style="0" customWidth="1"/>
    <col min="3" max="3" width="17.57421875" style="0" customWidth="1"/>
    <col min="4" max="4" width="11.28125" style="0" customWidth="1"/>
    <col min="5" max="5" width="21.57421875" style="0" customWidth="1"/>
  </cols>
  <sheetData>
    <row r="2" spans="11:17" ht="13.5" thickBot="1">
      <c r="K2" t="s">
        <v>191</v>
      </c>
      <c r="Q2" t="s">
        <v>194</v>
      </c>
    </row>
    <row r="3" spans="2:17" ht="12.75">
      <c r="B3" s="273" t="s">
        <v>56</v>
      </c>
      <c r="C3" s="274"/>
      <c r="D3" s="82"/>
      <c r="E3" s="271" t="s">
        <v>62</v>
      </c>
      <c r="F3" s="272"/>
      <c r="L3" s="228"/>
      <c r="M3" s="229"/>
      <c r="Q3">
        <v>12</v>
      </c>
    </row>
    <row r="4" spans="2:17" ht="16.5">
      <c r="B4" s="92" t="s">
        <v>41</v>
      </c>
      <c r="C4" s="71" t="s">
        <v>21</v>
      </c>
      <c r="E4" s="97">
        <v>1</v>
      </c>
      <c r="F4" s="157">
        <v>0.0766321243523316</v>
      </c>
      <c r="L4" s="228" t="s">
        <v>182</v>
      </c>
      <c r="M4" s="229">
        <f>1.312</f>
        <v>1.312</v>
      </c>
      <c r="Q4">
        <v>24</v>
      </c>
    </row>
    <row r="5" spans="2:17" ht="16.5">
      <c r="B5" s="94">
        <v>1</v>
      </c>
      <c r="C5" s="100">
        <v>0.17</v>
      </c>
      <c r="E5" s="97">
        <v>2</v>
      </c>
      <c r="F5" s="157">
        <v>0.12598673823808024</v>
      </c>
      <c r="L5" s="228" t="s">
        <v>183</v>
      </c>
      <c r="M5" s="229">
        <f>1.582</f>
        <v>1.582</v>
      </c>
      <c r="Q5">
        <v>48</v>
      </c>
    </row>
    <row r="6" spans="2:13" ht="16.5">
      <c r="B6" s="94">
        <v>2</v>
      </c>
      <c r="C6" s="100">
        <v>0.25</v>
      </c>
      <c r="E6" s="97">
        <v>3</v>
      </c>
      <c r="F6" s="157">
        <v>0.19042984590429846</v>
      </c>
      <c r="L6" s="228" t="s">
        <v>184</v>
      </c>
      <c r="M6" s="229">
        <v>1.963</v>
      </c>
    </row>
    <row r="7" spans="2:13" ht="16.5">
      <c r="B7" s="94">
        <v>3</v>
      </c>
      <c r="C7" s="100">
        <v>0.35</v>
      </c>
      <c r="E7" s="97">
        <v>5</v>
      </c>
      <c r="F7" s="157">
        <v>0.22891630425135354</v>
      </c>
      <c r="L7" s="228" t="s">
        <v>185</v>
      </c>
      <c r="M7" s="229">
        <v>0.55</v>
      </c>
    </row>
    <row r="8" spans="2:6" ht="15">
      <c r="B8" s="94">
        <v>4</v>
      </c>
      <c r="C8" s="100">
        <v>0.35</v>
      </c>
      <c r="E8" s="97">
        <v>7</v>
      </c>
      <c r="F8" s="157">
        <v>0.2929433611884866</v>
      </c>
    </row>
    <row r="9" spans="2:6" ht="15">
      <c r="B9" s="94">
        <v>5</v>
      </c>
      <c r="C9" s="100">
        <v>0.4</v>
      </c>
      <c r="E9" s="97">
        <v>8</v>
      </c>
      <c r="F9" s="157">
        <v>0.3280485239464273</v>
      </c>
    </row>
    <row r="10" spans="2:11" ht="15">
      <c r="B10" s="94">
        <v>6</v>
      </c>
      <c r="C10" s="100">
        <v>0.4</v>
      </c>
      <c r="E10" s="97">
        <v>10</v>
      </c>
      <c r="F10" s="157">
        <v>0.3682253521126761</v>
      </c>
      <c r="K10" t="s">
        <v>192</v>
      </c>
    </row>
    <row r="11" spans="2:16" ht="16.5" thickBot="1">
      <c r="B11" s="94">
        <v>7</v>
      </c>
      <c r="C11" s="100">
        <v>0.5</v>
      </c>
      <c r="E11" s="98">
        <v>15</v>
      </c>
      <c r="F11" s="157">
        <v>0.4425172495836308</v>
      </c>
      <c r="K11" s="230" t="s">
        <v>186</v>
      </c>
      <c r="L11" s="230" t="s">
        <v>186</v>
      </c>
      <c r="M11" s="230" t="s">
        <v>187</v>
      </c>
      <c r="N11" s="230" t="s">
        <v>188</v>
      </c>
      <c r="O11" s="230" t="s">
        <v>189</v>
      </c>
      <c r="P11" s="230" t="s">
        <v>190</v>
      </c>
    </row>
    <row r="12" spans="2:16" ht="12.75">
      <c r="B12" s="94">
        <v>8</v>
      </c>
      <c r="C12" s="70">
        <v>0.55</v>
      </c>
      <c r="K12" s="243">
        <v>1</v>
      </c>
      <c r="L12" s="231">
        <f aca="true" t="shared" si="0" ref="L12:L30">K12/100</f>
        <v>0.01</v>
      </c>
      <c r="M12" s="231">
        <f aca="true" t="shared" si="1" ref="M12:M30">0.858*L12^3-0.78*L12^2+0.774*L12+0.04</f>
        <v>0.047662858</v>
      </c>
      <c r="N12" s="231">
        <f aca="true" t="shared" si="2" ref="N12:N30">$M$4*M12*$M$7</f>
        <v>0.03439351833280001</v>
      </c>
      <c r="O12" s="231">
        <f aca="true" t="shared" si="3" ref="O12:O30">$M$5*M12*$M$7</f>
        <v>0.04147145274580001</v>
      </c>
      <c r="P12" s="231">
        <f aca="true" t="shared" si="4" ref="P12:P30">$M$6*M12*$M$7</f>
        <v>0.05145920463970001</v>
      </c>
    </row>
    <row r="13" spans="2:16" ht="13.5" thickBot="1">
      <c r="B13" s="94">
        <v>9</v>
      </c>
      <c r="C13" s="70">
        <v>0.55</v>
      </c>
      <c r="K13" s="243">
        <v>2</v>
      </c>
      <c r="L13" s="231">
        <f t="shared" si="0"/>
        <v>0.02</v>
      </c>
      <c r="M13" s="231">
        <f t="shared" si="1"/>
        <v>0.055174864000000004</v>
      </c>
      <c r="N13" s="231">
        <f t="shared" si="2"/>
        <v>0.0398141818624</v>
      </c>
      <c r="O13" s="231">
        <f t="shared" si="3"/>
        <v>0.048007649166400004</v>
      </c>
      <c r="P13" s="231">
        <f t="shared" si="4"/>
        <v>0.059569541917600013</v>
      </c>
    </row>
    <row r="14" spans="2:16" ht="12.75">
      <c r="B14" s="94">
        <v>10</v>
      </c>
      <c r="C14" s="70">
        <v>0.6</v>
      </c>
      <c r="E14" s="271" t="s">
        <v>63</v>
      </c>
      <c r="F14" s="272"/>
      <c r="K14" s="243">
        <v>3</v>
      </c>
      <c r="L14" s="231">
        <f t="shared" si="0"/>
        <v>0.03</v>
      </c>
      <c r="M14" s="231">
        <f t="shared" si="1"/>
        <v>0.06254116600000001</v>
      </c>
      <c r="N14" s="231">
        <f t="shared" si="2"/>
        <v>0.045129705385600016</v>
      </c>
      <c r="O14" s="231">
        <f t="shared" si="3"/>
        <v>0.05441706853660002</v>
      </c>
      <c r="P14" s="231">
        <f t="shared" si="4"/>
        <v>0.06752256987190002</v>
      </c>
    </row>
    <row r="15" spans="2:16" ht="12.75">
      <c r="B15" s="94">
        <v>11</v>
      </c>
      <c r="C15" s="70">
        <v>0.6</v>
      </c>
      <c r="E15" s="97">
        <v>1</v>
      </c>
      <c r="F15" s="72">
        <v>0.04</v>
      </c>
      <c r="K15" s="243">
        <v>4</v>
      </c>
      <c r="L15" s="231">
        <f t="shared" si="0"/>
        <v>0.04</v>
      </c>
      <c r="M15" s="231">
        <f t="shared" si="1"/>
        <v>0.069766912</v>
      </c>
      <c r="N15" s="231">
        <f t="shared" si="2"/>
        <v>0.0503438036992</v>
      </c>
      <c r="O15" s="231">
        <f t="shared" si="3"/>
        <v>0.06070419013120001</v>
      </c>
      <c r="P15" s="231">
        <f t="shared" si="4"/>
        <v>0.0753238465408</v>
      </c>
    </row>
    <row r="16" spans="2:16" ht="12.75">
      <c r="B16" s="94">
        <v>12</v>
      </c>
      <c r="C16" s="70">
        <v>0.6</v>
      </c>
      <c r="E16" s="97">
        <v>2</v>
      </c>
      <c r="F16" s="72">
        <v>0.04</v>
      </c>
      <c r="K16" s="243">
        <v>5</v>
      </c>
      <c r="L16" s="231">
        <f t="shared" si="0"/>
        <v>0.05</v>
      </c>
      <c r="M16" s="231">
        <f t="shared" si="1"/>
        <v>0.07685725000000002</v>
      </c>
      <c r="N16" s="231">
        <f t="shared" si="2"/>
        <v>0.055460191600000014</v>
      </c>
      <c r="O16" s="231">
        <f t="shared" si="3"/>
        <v>0.06687349322500002</v>
      </c>
      <c r="P16" s="231">
        <f t="shared" si="4"/>
        <v>0.08297892996250003</v>
      </c>
    </row>
    <row r="17" spans="2:16" ht="12.75">
      <c r="B17" s="94">
        <v>13</v>
      </c>
      <c r="C17" s="70">
        <v>0.6</v>
      </c>
      <c r="E17" s="97">
        <v>3</v>
      </c>
      <c r="F17" s="72">
        <v>0.04</v>
      </c>
      <c r="K17" s="243">
        <v>6</v>
      </c>
      <c r="L17" s="231">
        <f t="shared" si="0"/>
        <v>0.06</v>
      </c>
      <c r="M17" s="231">
        <f t="shared" si="1"/>
        <v>0.083817328</v>
      </c>
      <c r="N17" s="231">
        <f t="shared" si="2"/>
        <v>0.06048258388480001</v>
      </c>
      <c r="O17" s="231">
        <f t="shared" si="3"/>
        <v>0.0729294570928</v>
      </c>
      <c r="P17" s="231">
        <f t="shared" si="4"/>
        <v>0.0904933781752</v>
      </c>
    </row>
    <row r="18" spans="2:16" ht="12.75">
      <c r="B18" s="94">
        <v>14</v>
      </c>
      <c r="C18" s="70">
        <v>0.6</v>
      </c>
      <c r="E18" s="97">
        <v>5</v>
      </c>
      <c r="F18" s="72">
        <v>0.04</v>
      </c>
      <c r="K18" s="243">
        <v>7</v>
      </c>
      <c r="L18" s="231">
        <f t="shared" si="0"/>
        <v>0.07</v>
      </c>
      <c r="M18" s="231">
        <f t="shared" si="1"/>
        <v>0.09065229400000001</v>
      </c>
      <c r="N18" s="231">
        <f t="shared" si="2"/>
        <v>0.06541469535040001</v>
      </c>
      <c r="O18" s="231">
        <f t="shared" si="3"/>
        <v>0.07887656100940002</v>
      </c>
      <c r="P18" s="231">
        <f t="shared" si="4"/>
        <v>0.09787274921710003</v>
      </c>
    </row>
    <row r="19" spans="2:16" ht="12.75">
      <c r="B19" s="94">
        <v>15</v>
      </c>
      <c r="C19" s="100">
        <v>0.7</v>
      </c>
      <c r="E19" s="97">
        <v>7</v>
      </c>
      <c r="F19" s="72">
        <v>0.04</v>
      </c>
      <c r="K19" s="243">
        <v>8</v>
      </c>
      <c r="L19" s="231">
        <f t="shared" si="0"/>
        <v>0.08</v>
      </c>
      <c r="M19" s="231">
        <f t="shared" si="1"/>
        <v>0.09736729599999999</v>
      </c>
      <c r="N19" s="231">
        <f t="shared" si="2"/>
        <v>0.07026024079359999</v>
      </c>
      <c r="O19" s="231">
        <f t="shared" si="3"/>
        <v>0.08471928424960001</v>
      </c>
      <c r="P19" s="231">
        <f t="shared" si="4"/>
        <v>0.1051226011264</v>
      </c>
    </row>
    <row r="20" spans="2:16" ht="12.75">
      <c r="B20" s="94">
        <v>16</v>
      </c>
      <c r="C20" s="100">
        <v>0.7</v>
      </c>
      <c r="E20" s="97">
        <v>8</v>
      </c>
      <c r="F20" s="72">
        <v>0.04</v>
      </c>
      <c r="K20" s="243">
        <v>9</v>
      </c>
      <c r="L20" s="231">
        <f t="shared" si="0"/>
        <v>0.09</v>
      </c>
      <c r="M20" s="231">
        <f t="shared" si="1"/>
        <v>0.103967482</v>
      </c>
      <c r="N20" s="231">
        <f t="shared" si="2"/>
        <v>0.07502293501120001</v>
      </c>
      <c r="O20" s="231">
        <f t="shared" si="3"/>
        <v>0.09046210608820002</v>
      </c>
      <c r="P20" s="231">
        <f t="shared" si="4"/>
        <v>0.11224849194130002</v>
      </c>
    </row>
    <row r="21" spans="2:16" ht="12.75">
      <c r="B21" s="94">
        <v>17</v>
      </c>
      <c r="C21" s="100">
        <v>0.7</v>
      </c>
      <c r="E21" s="97">
        <v>10</v>
      </c>
      <c r="F21" s="72">
        <v>0.04</v>
      </c>
      <c r="K21" s="243">
        <v>10</v>
      </c>
      <c r="L21" s="231">
        <f t="shared" si="0"/>
        <v>0.1</v>
      </c>
      <c r="M21" s="231">
        <f t="shared" si="1"/>
        <v>0.110458</v>
      </c>
      <c r="N21" s="231">
        <f t="shared" si="2"/>
        <v>0.0797064928</v>
      </c>
      <c r="O21" s="231">
        <f t="shared" si="3"/>
        <v>0.09610950580000001</v>
      </c>
      <c r="P21" s="231">
        <f t="shared" si="4"/>
        <v>0.11925597970000001</v>
      </c>
    </row>
    <row r="22" spans="2:16" ht="13.5" thickBot="1">
      <c r="B22" s="94">
        <v>18</v>
      </c>
      <c r="C22" s="100">
        <v>0.7</v>
      </c>
      <c r="E22" s="98">
        <v>15</v>
      </c>
      <c r="F22" s="99">
        <v>0.04</v>
      </c>
      <c r="K22" s="243">
        <v>11</v>
      </c>
      <c r="L22" s="231">
        <f t="shared" si="0"/>
        <v>0.11</v>
      </c>
      <c r="M22" s="231">
        <f t="shared" si="1"/>
        <v>0.116843998</v>
      </c>
      <c r="N22" s="231">
        <f t="shared" si="2"/>
        <v>0.08431462895680002</v>
      </c>
      <c r="O22" s="231">
        <f t="shared" si="3"/>
        <v>0.1016659626598</v>
      </c>
      <c r="P22" s="231">
        <f t="shared" si="4"/>
        <v>0.12615062244070002</v>
      </c>
    </row>
    <row r="23" spans="2:16" ht="12.75">
      <c r="B23" s="94">
        <v>19</v>
      </c>
      <c r="C23" s="100">
        <v>0.7</v>
      </c>
      <c r="K23" s="243">
        <v>12</v>
      </c>
      <c r="L23" s="231">
        <f t="shared" si="0"/>
        <v>0.12</v>
      </c>
      <c r="M23" s="231">
        <f t="shared" si="1"/>
        <v>0.123130624</v>
      </c>
      <c r="N23" s="231">
        <f t="shared" si="2"/>
        <v>0.08885105827840001</v>
      </c>
      <c r="O23" s="231">
        <f t="shared" si="3"/>
        <v>0.1071359559424</v>
      </c>
      <c r="P23" s="231">
        <f t="shared" si="4"/>
        <v>0.13293797820160003</v>
      </c>
    </row>
    <row r="24" spans="2:16" ht="13.5" thickBot="1">
      <c r="B24" s="93">
        <v>20</v>
      </c>
      <c r="C24" s="101">
        <v>0.7</v>
      </c>
      <c r="K24" s="243">
        <v>13</v>
      </c>
      <c r="L24" s="231">
        <f t="shared" si="0"/>
        <v>0.13</v>
      </c>
      <c r="M24" s="231">
        <f t="shared" si="1"/>
        <v>0.129323026</v>
      </c>
      <c r="N24" s="231">
        <f t="shared" si="2"/>
        <v>0.09331949556160002</v>
      </c>
      <c r="O24" s="231">
        <f t="shared" si="3"/>
        <v>0.11252396492260003</v>
      </c>
      <c r="P24" s="231">
        <f t="shared" si="4"/>
        <v>0.13962360502090002</v>
      </c>
    </row>
    <row r="25" spans="11:16" ht="13.5" thickBot="1">
      <c r="K25" s="243">
        <v>14</v>
      </c>
      <c r="L25" s="231">
        <f t="shared" si="0"/>
        <v>0.14</v>
      </c>
      <c r="M25" s="231">
        <f t="shared" si="1"/>
        <v>0.135426352</v>
      </c>
      <c r="N25" s="231">
        <f t="shared" si="2"/>
        <v>0.09772365560320001</v>
      </c>
      <c r="O25" s="231">
        <f t="shared" si="3"/>
        <v>0.11783446887520002</v>
      </c>
      <c r="P25" s="231">
        <f t="shared" si="4"/>
        <v>0.1462130609368</v>
      </c>
    </row>
    <row r="26" spans="2:16" ht="12.75">
      <c r="B26" s="269" t="s">
        <v>58</v>
      </c>
      <c r="C26" s="270"/>
      <c r="K26" s="243">
        <v>15</v>
      </c>
      <c r="L26" s="231">
        <f t="shared" si="0"/>
        <v>0.15</v>
      </c>
      <c r="M26" s="231">
        <f t="shared" si="1"/>
        <v>0.14144575</v>
      </c>
      <c r="N26" s="231">
        <f t="shared" si="2"/>
        <v>0.10206725320000003</v>
      </c>
      <c r="O26" s="231">
        <f t="shared" si="3"/>
        <v>0.12307194707500002</v>
      </c>
      <c r="P26" s="231">
        <f t="shared" si="4"/>
        <v>0.1527119039875</v>
      </c>
    </row>
    <row r="27" spans="2:16" ht="12.75">
      <c r="B27" s="92" t="s">
        <v>41</v>
      </c>
      <c r="C27" s="96" t="s">
        <v>53</v>
      </c>
      <c r="K27" s="243">
        <v>16</v>
      </c>
      <c r="L27" s="231">
        <f t="shared" si="0"/>
        <v>0.16</v>
      </c>
      <c r="M27" s="231">
        <f t="shared" si="1"/>
        <v>0.14738636800000002</v>
      </c>
      <c r="N27" s="231">
        <f t="shared" si="2"/>
        <v>0.10635400314880002</v>
      </c>
      <c r="O27" s="231">
        <f t="shared" si="3"/>
        <v>0.12824087879680005</v>
      </c>
      <c r="P27" s="231">
        <f t="shared" si="4"/>
        <v>0.15912569221120004</v>
      </c>
    </row>
    <row r="28" spans="2:16" ht="12.75">
      <c r="B28" s="94">
        <v>1</v>
      </c>
      <c r="C28" s="100">
        <v>0.15</v>
      </c>
      <c r="K28" s="243">
        <v>17</v>
      </c>
      <c r="L28" s="231">
        <f t="shared" si="0"/>
        <v>0.17</v>
      </c>
      <c r="M28" s="231">
        <f t="shared" si="1"/>
        <v>0.153253354</v>
      </c>
      <c r="N28" s="231">
        <f t="shared" si="2"/>
        <v>0.11058762024640001</v>
      </c>
      <c r="O28" s="231">
        <f t="shared" si="3"/>
        <v>0.13334574331540003</v>
      </c>
      <c r="P28" s="231">
        <f t="shared" si="4"/>
        <v>0.16545998364610004</v>
      </c>
    </row>
    <row r="29" spans="2:16" ht="12.75">
      <c r="B29" s="94">
        <v>2</v>
      </c>
      <c r="C29" s="100">
        <v>0.2</v>
      </c>
      <c r="K29" s="243">
        <v>18</v>
      </c>
      <c r="L29" s="231">
        <f t="shared" si="0"/>
        <v>0.18</v>
      </c>
      <c r="M29" s="231">
        <f t="shared" si="1"/>
        <v>0.159051856</v>
      </c>
      <c r="N29" s="231">
        <f t="shared" si="2"/>
        <v>0.11477181928960001</v>
      </c>
      <c r="O29" s="231">
        <f t="shared" si="3"/>
        <v>0.13839101990560002</v>
      </c>
      <c r="P29" s="231">
        <f t="shared" si="4"/>
        <v>0.17172033633040001</v>
      </c>
    </row>
    <row r="30" spans="2:16" ht="12.75">
      <c r="B30" s="94">
        <v>3</v>
      </c>
      <c r="C30" s="100">
        <v>0.25</v>
      </c>
      <c r="K30" s="243">
        <v>19</v>
      </c>
      <c r="L30" s="231">
        <f t="shared" si="0"/>
        <v>0.19</v>
      </c>
      <c r="M30" s="231">
        <f t="shared" si="1"/>
        <v>0.164787022</v>
      </c>
      <c r="N30" s="231">
        <f t="shared" si="2"/>
        <v>0.11891031507520002</v>
      </c>
      <c r="O30" s="231">
        <f t="shared" si="3"/>
        <v>0.14338118784220003</v>
      </c>
      <c r="P30" s="231">
        <f t="shared" si="4"/>
        <v>0.17791230830230004</v>
      </c>
    </row>
    <row r="31" spans="2:16" ht="12.75">
      <c r="B31" s="94">
        <v>5</v>
      </c>
      <c r="C31" s="100">
        <v>0.28</v>
      </c>
      <c r="K31">
        <v>20</v>
      </c>
      <c r="L31" s="231">
        <f>K31/100</f>
        <v>0.2</v>
      </c>
      <c r="M31" s="231">
        <f>0.858*L31^3-0.78*L31^2+0.774*L31+0.04</f>
        <v>0.17046400000000003</v>
      </c>
      <c r="N31" s="231">
        <f>$M$4*M31*$M$7</f>
        <v>0.12300682240000003</v>
      </c>
      <c r="O31" s="231">
        <f>$M$5*M31*$M$7</f>
        <v>0.14832072640000005</v>
      </c>
      <c r="P31" s="231">
        <f>$M$6*M31*$M$7</f>
        <v>0.18404145760000007</v>
      </c>
    </row>
    <row r="32" spans="2:16" ht="12.75">
      <c r="B32" s="94">
        <v>7</v>
      </c>
      <c r="C32" s="100">
        <v>0.34</v>
      </c>
      <c r="K32">
        <v>21</v>
      </c>
      <c r="L32" s="231">
        <f aca="true" t="shared" si="5" ref="L32:L95">K32/100</f>
        <v>0.21</v>
      </c>
      <c r="M32" s="231">
        <f aca="true" t="shared" si="6" ref="M32:M40">0.858*L32^3-0.78*L32^2+0.774*L32+0.04</f>
        <v>0.176087938</v>
      </c>
      <c r="N32" s="231">
        <f aca="true" t="shared" si="7" ref="N32:N40">$M$4*M32*$M$7</f>
        <v>0.1270650560608</v>
      </c>
      <c r="O32" s="231">
        <f aca="true" t="shared" si="8" ref="O32:O40">$M$5*M32*$M$7</f>
        <v>0.15321411485380004</v>
      </c>
      <c r="P32" s="231">
        <f aca="true" t="shared" si="9" ref="P32:P40">$M$6*M32*$M$7</f>
        <v>0.1901133422617</v>
      </c>
    </row>
    <row r="33" spans="2:16" ht="12.75">
      <c r="B33" s="94">
        <v>8</v>
      </c>
      <c r="C33" s="70">
        <v>0.37</v>
      </c>
      <c r="K33">
        <v>22</v>
      </c>
      <c r="L33" s="231">
        <f t="shared" si="5"/>
        <v>0.22</v>
      </c>
      <c r="M33" s="231">
        <f t="shared" si="6"/>
        <v>0.18166398400000003</v>
      </c>
      <c r="N33" s="231">
        <f t="shared" si="7"/>
        <v>0.13108873085440004</v>
      </c>
      <c r="O33" s="231">
        <f t="shared" si="8"/>
        <v>0.15806583247840006</v>
      </c>
      <c r="P33" s="231">
        <f t="shared" si="9"/>
        <v>0.19613352032560005</v>
      </c>
    </row>
    <row r="34" spans="2:16" ht="12.75">
      <c r="B34" s="95" t="s">
        <v>61</v>
      </c>
      <c r="C34" s="70">
        <v>0.41</v>
      </c>
      <c r="K34">
        <v>23</v>
      </c>
      <c r="L34" s="231">
        <f t="shared" si="5"/>
        <v>0.23</v>
      </c>
      <c r="M34" s="231">
        <f t="shared" si="6"/>
        <v>0.18719728600000002</v>
      </c>
      <c r="N34" s="231">
        <f t="shared" si="7"/>
        <v>0.13508156157760004</v>
      </c>
      <c r="O34" s="231">
        <f t="shared" si="8"/>
        <v>0.16288035854860006</v>
      </c>
      <c r="P34" s="231">
        <f t="shared" si="9"/>
        <v>0.20210754982990006</v>
      </c>
    </row>
    <row r="35" spans="2:16" ht="13.5" thickBot="1">
      <c r="B35" s="93">
        <v>15</v>
      </c>
      <c r="C35" s="101">
        <v>0.49</v>
      </c>
      <c r="K35">
        <v>24</v>
      </c>
      <c r="L35" s="231">
        <f t="shared" si="5"/>
        <v>0.24</v>
      </c>
      <c r="M35" s="231">
        <f t="shared" si="6"/>
        <v>0.192692992</v>
      </c>
      <c r="N35" s="231">
        <f t="shared" si="7"/>
        <v>0.1390472630272</v>
      </c>
      <c r="O35" s="231">
        <f t="shared" si="8"/>
        <v>0.16766217233920003</v>
      </c>
      <c r="P35" s="231">
        <f t="shared" si="9"/>
        <v>0.20804098881280006</v>
      </c>
    </row>
    <row r="36" spans="11:16" ht="12.75">
      <c r="K36">
        <v>25</v>
      </c>
      <c r="L36" s="231">
        <f t="shared" si="5"/>
        <v>0.25</v>
      </c>
      <c r="M36" s="231">
        <f t="shared" si="6"/>
        <v>0.19815625</v>
      </c>
      <c r="N36" s="231">
        <f t="shared" si="7"/>
        <v>0.14298955000000002</v>
      </c>
      <c r="O36" s="231">
        <f t="shared" si="8"/>
        <v>0.17241575312500004</v>
      </c>
      <c r="P36" s="231">
        <f t="shared" si="9"/>
        <v>0.21393939531250003</v>
      </c>
    </row>
    <row r="37" spans="11:16" ht="12.75">
      <c r="K37">
        <v>26</v>
      </c>
      <c r="L37" s="231">
        <f t="shared" si="5"/>
        <v>0.26</v>
      </c>
      <c r="M37" s="231">
        <f t="shared" si="6"/>
        <v>0.20359220800000002</v>
      </c>
      <c r="N37" s="231">
        <f t="shared" si="7"/>
        <v>0.14691213729280003</v>
      </c>
      <c r="O37" s="231">
        <f t="shared" si="8"/>
        <v>0.17714558018080004</v>
      </c>
      <c r="P37" s="231">
        <f t="shared" si="9"/>
        <v>0.21980832736720005</v>
      </c>
    </row>
    <row r="38" spans="1:16" ht="12.75">
      <c r="A38" t="s">
        <v>176</v>
      </c>
      <c r="K38">
        <v>27</v>
      </c>
      <c r="L38" s="231">
        <f t="shared" si="5"/>
        <v>0.27</v>
      </c>
      <c r="M38" s="231">
        <f t="shared" si="6"/>
        <v>0.20900601400000005</v>
      </c>
      <c r="N38" s="231">
        <f t="shared" si="7"/>
        <v>0.15081873970240006</v>
      </c>
      <c r="O38" s="231">
        <f t="shared" si="8"/>
        <v>0.18185613278140006</v>
      </c>
      <c r="P38" s="231">
        <f t="shared" si="9"/>
        <v>0.2256533430151001</v>
      </c>
    </row>
    <row r="39" spans="5:16" ht="13.5" thickBot="1">
      <c r="E39" t="s">
        <v>177</v>
      </c>
      <c r="K39">
        <v>28</v>
      </c>
      <c r="L39" s="231">
        <f t="shared" si="5"/>
        <v>0.28</v>
      </c>
      <c r="M39" s="231">
        <f t="shared" si="6"/>
        <v>0.21440281600000002</v>
      </c>
      <c r="N39" s="231">
        <f t="shared" si="7"/>
        <v>0.15471307202560006</v>
      </c>
      <c r="O39" s="231">
        <f t="shared" si="8"/>
        <v>0.18655189020160007</v>
      </c>
      <c r="P39" s="231">
        <f t="shared" si="9"/>
        <v>0.23148000029440005</v>
      </c>
    </row>
    <row r="40" spans="1:16" ht="21.75" thickBot="1">
      <c r="A40" s="207" t="s">
        <v>166</v>
      </c>
      <c r="B40" s="208" t="s">
        <v>167</v>
      </c>
      <c r="E40" t="s">
        <v>178</v>
      </c>
      <c r="F40" t="s">
        <v>179</v>
      </c>
      <c r="K40">
        <v>29</v>
      </c>
      <c r="L40" s="231">
        <f t="shared" si="5"/>
        <v>0.29</v>
      </c>
      <c r="M40" s="231">
        <f t="shared" si="6"/>
        <v>0.219787762</v>
      </c>
      <c r="N40" s="231">
        <f t="shared" si="7"/>
        <v>0.15859884905920002</v>
      </c>
      <c r="O40" s="231">
        <f t="shared" si="8"/>
        <v>0.19123733171620003</v>
      </c>
      <c r="P40" s="231">
        <f t="shared" si="9"/>
        <v>0.23729385724330004</v>
      </c>
    </row>
    <row r="41" spans="1:16" ht="15.75" thickTop="1">
      <c r="A41" s="247">
        <v>0</v>
      </c>
      <c r="B41" s="182">
        <f aca="true" t="shared" si="10" ref="B41:B70">0.858*A41^3-0.78*A41^2+0.774*A41+0.04</f>
        <v>0.04</v>
      </c>
      <c r="C41" s="87"/>
      <c r="E41" s="231">
        <v>0</v>
      </c>
      <c r="F41" s="231">
        <v>0</v>
      </c>
      <c r="G41">
        <f>0.16/25</f>
        <v>0.0064</v>
      </c>
      <c r="K41">
        <v>30</v>
      </c>
      <c r="L41" s="231">
        <f t="shared" si="5"/>
        <v>0.3</v>
      </c>
      <c r="M41" s="231">
        <f aca="true" t="shared" si="11" ref="M41:M111">0.858*L41^3-0.78*L41^2+0.774*L41+0.04</f>
        <v>0.225166</v>
      </c>
      <c r="N41" s="231">
        <f>$M$4*M41*$M$7</f>
        <v>0.1624797856</v>
      </c>
      <c r="O41" s="231">
        <f>$M$5*M41*$M$7</f>
        <v>0.19591693660000004</v>
      </c>
      <c r="P41" s="231">
        <f>$M$6*M41*$M$7</f>
        <v>0.24310047190000006</v>
      </c>
    </row>
    <row r="42" spans="1:16" ht="15">
      <c r="A42" s="247">
        <v>0.01</v>
      </c>
      <c r="B42" s="182">
        <f t="shared" si="10"/>
        <v>0.047662858</v>
      </c>
      <c r="C42" s="87"/>
      <c r="E42" s="231">
        <v>0.01</v>
      </c>
      <c r="F42" s="231">
        <f>F41+$G$41</f>
        <v>0.0064</v>
      </c>
      <c r="K42">
        <v>31</v>
      </c>
      <c r="L42" s="231">
        <f t="shared" si="5"/>
        <v>0.31</v>
      </c>
      <c r="M42" s="231">
        <f t="shared" si="11"/>
        <v>0.23054267800000003</v>
      </c>
      <c r="N42" s="231">
        <f aca="true" t="shared" si="12" ref="N42:N50">$M$4*M42*$M$7</f>
        <v>0.16635959644480006</v>
      </c>
      <c r="O42" s="231">
        <f aca="true" t="shared" si="13" ref="O42:O50">$M$5*M42*$M$7</f>
        <v>0.20059518412780006</v>
      </c>
      <c r="P42" s="231">
        <f aca="true" t="shared" si="14" ref="P42:P50">$M$6*M42*$M$7</f>
        <v>0.24890540230270006</v>
      </c>
    </row>
    <row r="43" spans="1:16" ht="15">
      <c r="A43" s="247">
        <v>0.02</v>
      </c>
      <c r="B43" s="182">
        <f t="shared" si="10"/>
        <v>0.055174864000000004</v>
      </c>
      <c r="C43" s="87"/>
      <c r="E43" s="231">
        <v>0.02</v>
      </c>
      <c r="F43" s="231">
        <f aca="true" t="shared" si="15" ref="F43:F65">F42+$G$41</f>
        <v>0.0128</v>
      </c>
      <c r="K43">
        <v>32</v>
      </c>
      <c r="L43" s="231">
        <f t="shared" si="5"/>
        <v>0.32</v>
      </c>
      <c r="M43" s="231">
        <f t="shared" si="11"/>
        <v>0.235922944</v>
      </c>
      <c r="N43" s="231">
        <f t="shared" si="12"/>
        <v>0.17024199639040002</v>
      </c>
      <c r="O43" s="231">
        <f t="shared" si="13"/>
        <v>0.20527655357440003</v>
      </c>
      <c r="P43" s="231">
        <f t="shared" si="14"/>
        <v>0.2547142064896</v>
      </c>
    </row>
    <row r="44" spans="1:16" ht="15">
      <c r="A44" s="247">
        <v>0.03</v>
      </c>
      <c r="B44" s="182">
        <f t="shared" si="10"/>
        <v>0.06254116600000001</v>
      </c>
      <c r="C44" s="87"/>
      <c r="E44" s="231">
        <v>0.03</v>
      </c>
      <c r="F44" s="231">
        <f t="shared" si="15"/>
        <v>0.019200000000000002</v>
      </c>
      <c r="K44">
        <v>33</v>
      </c>
      <c r="L44" s="231">
        <f t="shared" si="5"/>
        <v>0.33</v>
      </c>
      <c r="M44" s="231">
        <f t="shared" si="11"/>
        <v>0.24131194600000003</v>
      </c>
      <c r="N44" s="231">
        <f t="shared" si="12"/>
        <v>0.17413070023360003</v>
      </c>
      <c r="O44" s="231">
        <f t="shared" si="13"/>
        <v>0.20996552421460007</v>
      </c>
      <c r="P44" s="231">
        <f t="shared" si="14"/>
        <v>0.26053244249890006</v>
      </c>
    </row>
    <row r="45" spans="1:16" ht="15">
      <c r="A45" s="247">
        <v>0.04</v>
      </c>
      <c r="B45" s="182">
        <f t="shared" si="10"/>
        <v>0.069766912</v>
      </c>
      <c r="C45" s="87"/>
      <c r="E45" s="231">
        <v>0.04</v>
      </c>
      <c r="F45" s="231">
        <f t="shared" si="15"/>
        <v>0.0256</v>
      </c>
      <c r="K45">
        <v>34</v>
      </c>
      <c r="L45" s="231">
        <f t="shared" si="5"/>
        <v>0.34</v>
      </c>
      <c r="M45" s="231">
        <f t="shared" si="11"/>
        <v>0.246714832</v>
      </c>
      <c r="N45" s="231">
        <f t="shared" si="12"/>
        <v>0.1780294227712</v>
      </c>
      <c r="O45" s="231">
        <f t="shared" si="13"/>
        <v>0.21466657532320002</v>
      </c>
      <c r="P45" s="231">
        <f t="shared" si="14"/>
        <v>0.26636566836880005</v>
      </c>
    </row>
    <row r="46" spans="1:16" ht="15">
      <c r="A46" s="247">
        <v>0.05</v>
      </c>
      <c r="B46" s="182">
        <f t="shared" si="10"/>
        <v>0.07685725000000002</v>
      </c>
      <c r="C46" s="87"/>
      <c r="E46" s="231">
        <v>0.05</v>
      </c>
      <c r="F46" s="231">
        <f t="shared" si="15"/>
        <v>0.032</v>
      </c>
      <c r="K46">
        <v>35</v>
      </c>
      <c r="L46" s="231">
        <f t="shared" si="5"/>
        <v>0.35</v>
      </c>
      <c r="M46" s="231">
        <f t="shared" si="11"/>
        <v>0.25213674999999997</v>
      </c>
      <c r="N46" s="231">
        <f t="shared" si="12"/>
        <v>0.18194187879999998</v>
      </c>
      <c r="O46" s="231">
        <f t="shared" si="13"/>
        <v>0.21938418617500002</v>
      </c>
      <c r="P46" s="231">
        <f t="shared" si="14"/>
        <v>0.2722194421375</v>
      </c>
    </row>
    <row r="47" spans="1:16" ht="15">
      <c r="A47" s="247">
        <v>0.06</v>
      </c>
      <c r="B47" s="182">
        <f t="shared" si="10"/>
        <v>0.083817328</v>
      </c>
      <c r="C47" s="87"/>
      <c r="E47" s="231">
        <v>0.06</v>
      </c>
      <c r="F47" s="231">
        <f t="shared" si="15"/>
        <v>0.038400000000000004</v>
      </c>
      <c r="K47">
        <v>36</v>
      </c>
      <c r="L47" s="231">
        <f t="shared" si="5"/>
        <v>0.36</v>
      </c>
      <c r="M47" s="231">
        <f t="shared" si="11"/>
        <v>0.257582848</v>
      </c>
      <c r="N47" s="231">
        <f t="shared" si="12"/>
        <v>0.1858717831168</v>
      </c>
      <c r="O47" s="231">
        <f t="shared" si="13"/>
        <v>0.22412283604480002</v>
      </c>
      <c r="P47" s="231">
        <f t="shared" si="14"/>
        <v>0.2780993218432</v>
      </c>
    </row>
    <row r="48" spans="1:16" ht="15">
      <c r="A48" s="247">
        <v>0.07</v>
      </c>
      <c r="B48" s="182">
        <f t="shared" si="10"/>
        <v>0.09065229400000001</v>
      </c>
      <c r="C48" s="87"/>
      <c r="E48" s="231">
        <v>0.07</v>
      </c>
      <c r="F48" s="231">
        <f>F47+$G$41</f>
        <v>0.044800000000000006</v>
      </c>
      <c r="K48">
        <v>37</v>
      </c>
      <c r="L48" s="231">
        <f t="shared" si="5"/>
        <v>0.37</v>
      </c>
      <c r="M48" s="231">
        <f t="shared" si="11"/>
        <v>0.263058274</v>
      </c>
      <c r="N48" s="231">
        <f t="shared" si="12"/>
        <v>0.1898228505184</v>
      </c>
      <c r="O48" s="231">
        <f t="shared" si="13"/>
        <v>0.22888700420740002</v>
      </c>
      <c r="P48" s="231">
        <f t="shared" si="14"/>
        <v>0.28401086552410004</v>
      </c>
    </row>
    <row r="49" spans="1:16" ht="15">
      <c r="A49" s="247">
        <v>0.08</v>
      </c>
      <c r="B49" s="182">
        <f t="shared" si="10"/>
        <v>0.09736729599999999</v>
      </c>
      <c r="C49" s="87"/>
      <c r="E49" s="231">
        <v>0.08</v>
      </c>
      <c r="F49" s="231">
        <f t="shared" si="15"/>
        <v>0.05120000000000001</v>
      </c>
      <c r="K49">
        <v>38</v>
      </c>
      <c r="L49" s="231">
        <f t="shared" si="5"/>
        <v>0.38</v>
      </c>
      <c r="M49" s="231">
        <f t="shared" si="11"/>
        <v>0.268568176</v>
      </c>
      <c r="N49" s="231">
        <f t="shared" si="12"/>
        <v>0.1937987958016</v>
      </c>
      <c r="O49" s="231">
        <f t="shared" si="13"/>
        <v>0.23368116993760002</v>
      </c>
      <c r="P49" s="231">
        <f t="shared" si="14"/>
        <v>0.2899596312184</v>
      </c>
    </row>
    <row r="50" spans="1:16" ht="15">
      <c r="A50" s="248">
        <v>0.09</v>
      </c>
      <c r="B50" s="246">
        <f t="shared" si="10"/>
        <v>0.103967482</v>
      </c>
      <c r="C50" s="87"/>
      <c r="E50" s="231">
        <v>0.09</v>
      </c>
      <c r="F50" s="231">
        <f t="shared" si="15"/>
        <v>0.05760000000000001</v>
      </c>
      <c r="K50">
        <v>39</v>
      </c>
      <c r="L50" s="231">
        <f t="shared" si="5"/>
        <v>0.39</v>
      </c>
      <c r="M50" s="231">
        <f t="shared" si="11"/>
        <v>0.274117702</v>
      </c>
      <c r="N50" s="231">
        <f t="shared" si="12"/>
        <v>0.19780333376320003</v>
      </c>
      <c r="O50" s="231">
        <f t="shared" si="13"/>
        <v>0.23850981251020004</v>
      </c>
      <c r="P50" s="231">
        <f t="shared" si="14"/>
        <v>0.29595117696430007</v>
      </c>
    </row>
    <row r="51" spans="1:16" ht="15">
      <c r="A51" s="247">
        <v>0.1</v>
      </c>
      <c r="B51" s="182">
        <f t="shared" si="10"/>
        <v>0.110458</v>
      </c>
      <c r="C51" s="87"/>
      <c r="E51" s="231">
        <v>0.1</v>
      </c>
      <c r="F51" s="231">
        <f t="shared" si="15"/>
        <v>0.06400000000000002</v>
      </c>
      <c r="K51">
        <v>40</v>
      </c>
      <c r="L51" s="231">
        <f t="shared" si="5"/>
        <v>0.4</v>
      </c>
      <c r="M51" s="231">
        <f t="shared" si="11"/>
        <v>0.279712</v>
      </c>
      <c r="N51" s="231">
        <f>$M$4*M51*$M$7</f>
        <v>0.20184017920000002</v>
      </c>
      <c r="O51" s="231">
        <f>$M$5*M51*$M$7</f>
        <v>0.24337741120000003</v>
      </c>
      <c r="P51" s="231">
        <f>$M$6*M51*$M$7</f>
        <v>0.30199106080000004</v>
      </c>
    </row>
    <row r="52" spans="1:16" ht="15">
      <c r="A52" s="247">
        <v>0.11</v>
      </c>
      <c r="B52" s="182">
        <f t="shared" si="10"/>
        <v>0.116843998</v>
      </c>
      <c r="C52" s="87"/>
      <c r="E52" s="231">
        <v>0.11</v>
      </c>
      <c r="F52" s="231">
        <f>F51+$G$41</f>
        <v>0.07040000000000002</v>
      </c>
      <c r="K52">
        <v>41</v>
      </c>
      <c r="L52" s="231">
        <f t="shared" si="5"/>
        <v>0.41</v>
      </c>
      <c r="M52" s="231">
        <f t="shared" si="11"/>
        <v>0.285356218</v>
      </c>
      <c r="N52" s="231">
        <f aca="true" t="shared" si="16" ref="N52:N60">$M$4*M52*$M$7</f>
        <v>0.2059130469088</v>
      </c>
      <c r="O52" s="231">
        <f aca="true" t="shared" si="17" ref="O52:O60">$M$5*M52*$M$7</f>
        <v>0.24828844528180002</v>
      </c>
      <c r="P52" s="231">
        <f aca="true" t="shared" si="18" ref="P52:P60">$M$6*M52*$M$7</f>
        <v>0.3080848407637</v>
      </c>
    </row>
    <row r="53" spans="1:16" ht="15">
      <c r="A53" s="247">
        <v>0.12</v>
      </c>
      <c r="B53" s="182">
        <f t="shared" si="10"/>
        <v>0.123130624</v>
      </c>
      <c r="C53" s="87"/>
      <c r="E53" s="231">
        <v>0.12</v>
      </c>
      <c r="F53" s="231">
        <f t="shared" si="15"/>
        <v>0.07680000000000002</v>
      </c>
      <c r="K53">
        <v>42</v>
      </c>
      <c r="L53" s="231">
        <f t="shared" si="5"/>
        <v>0.42</v>
      </c>
      <c r="M53" s="231">
        <f t="shared" si="11"/>
        <v>0.29105550399999996</v>
      </c>
      <c r="N53" s="231">
        <f t="shared" si="16"/>
        <v>0.2100256516864</v>
      </c>
      <c r="O53" s="231">
        <f t="shared" si="17"/>
        <v>0.2532473940304</v>
      </c>
      <c r="P53" s="231">
        <f t="shared" si="18"/>
        <v>0.3142380748936</v>
      </c>
    </row>
    <row r="54" spans="1:16" ht="15">
      <c r="A54" s="247">
        <v>0.13</v>
      </c>
      <c r="B54" s="182">
        <f t="shared" si="10"/>
        <v>0.129323026</v>
      </c>
      <c r="C54" s="87"/>
      <c r="E54" s="231">
        <v>0.13</v>
      </c>
      <c r="F54" s="231">
        <f t="shared" si="15"/>
        <v>0.08320000000000002</v>
      </c>
      <c r="K54">
        <v>43</v>
      </c>
      <c r="L54" s="231">
        <f t="shared" si="5"/>
        <v>0.43</v>
      </c>
      <c r="M54" s="231">
        <f t="shared" si="11"/>
        <v>0.296815006</v>
      </c>
      <c r="N54" s="231">
        <f t="shared" si="16"/>
        <v>0.21418170832960004</v>
      </c>
      <c r="O54" s="231">
        <f t="shared" si="17"/>
        <v>0.2582587367206</v>
      </c>
      <c r="P54" s="231">
        <f t="shared" si="18"/>
        <v>0.3204563212279</v>
      </c>
    </row>
    <row r="55" spans="1:16" ht="15">
      <c r="A55" s="247">
        <v>0.14</v>
      </c>
      <c r="B55" s="182">
        <f t="shared" si="10"/>
        <v>0.135426352</v>
      </c>
      <c r="C55" s="87"/>
      <c r="E55" s="231">
        <v>0.14</v>
      </c>
      <c r="F55" s="231">
        <f t="shared" si="15"/>
        <v>0.08960000000000003</v>
      </c>
      <c r="K55">
        <v>44</v>
      </c>
      <c r="L55" s="231">
        <f t="shared" si="5"/>
        <v>0.44</v>
      </c>
      <c r="M55" s="231">
        <f t="shared" si="11"/>
        <v>0.30263987200000003</v>
      </c>
      <c r="N55" s="231">
        <f t="shared" si="16"/>
        <v>0.21838493163520004</v>
      </c>
      <c r="O55" s="231">
        <f t="shared" si="17"/>
        <v>0.2633269526272001</v>
      </c>
      <c r="P55" s="231">
        <f t="shared" si="18"/>
        <v>0.3267451378048001</v>
      </c>
    </row>
    <row r="56" spans="1:16" ht="15">
      <c r="A56" s="247">
        <v>0.15</v>
      </c>
      <c r="B56" s="182">
        <f t="shared" si="10"/>
        <v>0.14144575</v>
      </c>
      <c r="C56" s="87"/>
      <c r="E56" s="231">
        <v>0.15</v>
      </c>
      <c r="F56" s="231">
        <f t="shared" si="15"/>
        <v>0.09600000000000003</v>
      </c>
      <c r="K56">
        <v>45</v>
      </c>
      <c r="L56" s="231">
        <f t="shared" si="5"/>
        <v>0.45</v>
      </c>
      <c r="M56" s="231">
        <f t="shared" si="11"/>
        <v>0.30853525</v>
      </c>
      <c r="N56" s="231">
        <f t="shared" si="16"/>
        <v>0.2226390364</v>
      </c>
      <c r="O56" s="231">
        <f t="shared" si="17"/>
        <v>0.268456521025</v>
      </c>
      <c r="P56" s="231">
        <f t="shared" si="18"/>
        <v>0.33311008266250003</v>
      </c>
    </row>
    <row r="57" spans="1:16" ht="15">
      <c r="A57" s="247">
        <v>0.16</v>
      </c>
      <c r="B57" s="182">
        <f t="shared" si="10"/>
        <v>0.14738636800000002</v>
      </c>
      <c r="C57" s="87"/>
      <c r="E57" s="231">
        <v>0.16</v>
      </c>
      <c r="F57" s="231">
        <f t="shared" si="15"/>
        <v>0.10240000000000003</v>
      </c>
      <c r="K57">
        <v>46</v>
      </c>
      <c r="L57" s="231">
        <f t="shared" si="5"/>
        <v>0.46</v>
      </c>
      <c r="M57" s="231">
        <f t="shared" si="11"/>
        <v>0.314506288</v>
      </c>
      <c r="N57" s="231">
        <f t="shared" si="16"/>
        <v>0.22694773742080004</v>
      </c>
      <c r="O57" s="231">
        <f t="shared" si="17"/>
        <v>0.27365192118880005</v>
      </c>
      <c r="P57" s="231">
        <f t="shared" si="18"/>
        <v>0.33955671383920005</v>
      </c>
    </row>
    <row r="58" spans="1:16" ht="15">
      <c r="A58" s="247">
        <v>0.17</v>
      </c>
      <c r="B58" s="182">
        <f t="shared" si="10"/>
        <v>0.153253354</v>
      </c>
      <c r="C58" s="87"/>
      <c r="E58" s="231">
        <v>0.17</v>
      </c>
      <c r="F58" s="231">
        <f>F57+$G$41</f>
        <v>0.10880000000000004</v>
      </c>
      <c r="K58">
        <v>47</v>
      </c>
      <c r="L58" s="231">
        <f t="shared" si="5"/>
        <v>0.47</v>
      </c>
      <c r="M58" s="231">
        <f t="shared" si="11"/>
        <v>0.320558134</v>
      </c>
      <c r="N58" s="231">
        <f t="shared" si="16"/>
        <v>0.2313147494944</v>
      </c>
      <c r="O58" s="231">
        <f t="shared" si="17"/>
        <v>0.27891763239340006</v>
      </c>
      <c r="P58" s="231">
        <f t="shared" si="18"/>
        <v>0.34609058937310005</v>
      </c>
    </row>
    <row r="59" spans="1:16" ht="15">
      <c r="A59" s="247">
        <v>0.18</v>
      </c>
      <c r="B59" s="182">
        <f t="shared" si="10"/>
        <v>0.159051856</v>
      </c>
      <c r="C59" s="87"/>
      <c r="E59" s="231">
        <v>0.18</v>
      </c>
      <c r="F59" s="231">
        <f t="shared" si="15"/>
        <v>0.11520000000000004</v>
      </c>
      <c r="K59">
        <v>48</v>
      </c>
      <c r="L59" s="231">
        <f t="shared" si="5"/>
        <v>0.48</v>
      </c>
      <c r="M59" s="231">
        <f t="shared" si="11"/>
        <v>0.32669593599999996</v>
      </c>
      <c r="N59" s="231">
        <f t="shared" si="16"/>
        <v>0.2357437874176</v>
      </c>
      <c r="O59" s="231">
        <f t="shared" si="17"/>
        <v>0.2842581339136</v>
      </c>
      <c r="P59" s="231">
        <f t="shared" si="18"/>
        <v>0.3527172673024</v>
      </c>
    </row>
    <row r="60" spans="1:16" ht="15">
      <c r="A60" s="248">
        <v>0.19</v>
      </c>
      <c r="B60" s="246">
        <f t="shared" si="10"/>
        <v>0.164787022</v>
      </c>
      <c r="C60" s="87"/>
      <c r="E60" s="231">
        <v>0.19</v>
      </c>
      <c r="F60" s="231">
        <f>F59+$G$41</f>
        <v>0.12160000000000004</v>
      </c>
      <c r="K60">
        <v>49</v>
      </c>
      <c r="L60" s="231">
        <f t="shared" si="5"/>
        <v>0.49</v>
      </c>
      <c r="M60" s="231">
        <f t="shared" si="11"/>
        <v>0.33292484199999994</v>
      </c>
      <c r="N60" s="231">
        <f t="shared" si="16"/>
        <v>0.24023856598719998</v>
      </c>
      <c r="O60" s="231">
        <f t="shared" si="17"/>
        <v>0.28967790502420004</v>
      </c>
      <c r="P60" s="231">
        <f t="shared" si="18"/>
        <v>0.35944230566529994</v>
      </c>
    </row>
    <row r="61" spans="1:16" ht="15">
      <c r="A61" s="247">
        <v>0.2</v>
      </c>
      <c r="B61" s="182">
        <f t="shared" si="10"/>
        <v>0.17046400000000003</v>
      </c>
      <c r="C61" s="87"/>
      <c r="E61" s="231">
        <v>0.2</v>
      </c>
      <c r="F61" s="231">
        <f t="shared" si="15"/>
        <v>0.12800000000000003</v>
      </c>
      <c r="K61">
        <v>50</v>
      </c>
      <c r="L61" s="231">
        <f t="shared" si="5"/>
        <v>0.5</v>
      </c>
      <c r="M61" s="231">
        <f t="shared" si="11"/>
        <v>0.33925</v>
      </c>
      <c r="N61" s="231">
        <f>$M$4*M61*$M$7</f>
        <v>0.24480280000000001</v>
      </c>
      <c r="O61" s="231">
        <f>$M$5*M61*$M$7</f>
        <v>0.29518142500000005</v>
      </c>
      <c r="P61" s="231">
        <f>$M$6*M61*$M$7</f>
        <v>0.3662712625000001</v>
      </c>
    </row>
    <row r="62" spans="1:16" ht="15">
      <c r="A62" s="247">
        <v>0.21</v>
      </c>
      <c r="B62" s="182">
        <f t="shared" si="10"/>
        <v>0.176087938</v>
      </c>
      <c r="C62" s="87"/>
      <c r="E62" s="231">
        <v>0.21</v>
      </c>
      <c r="F62" s="231">
        <f t="shared" si="15"/>
        <v>0.13440000000000002</v>
      </c>
      <c r="K62">
        <v>51</v>
      </c>
      <c r="L62" s="231">
        <f t="shared" si="5"/>
        <v>0.51</v>
      </c>
      <c r="M62" s="231">
        <f t="shared" si="11"/>
        <v>0.345676558</v>
      </c>
      <c r="N62" s="231">
        <f aca="true" t="shared" si="19" ref="N62:N70">$M$4*M62*$M$7</f>
        <v>0.24944020425280006</v>
      </c>
      <c r="O62" s="231">
        <f aca="true" t="shared" si="20" ref="O62:O70">$M$5*M62*$M$7</f>
        <v>0.30077317311580004</v>
      </c>
      <c r="P62" s="231">
        <f aca="true" t="shared" si="21" ref="P62:P70">$M$6*M62*$M$7</f>
        <v>0.37320969584470004</v>
      </c>
    </row>
    <row r="63" spans="1:16" ht="15">
      <c r="A63" s="247">
        <v>0.22</v>
      </c>
      <c r="B63" s="182">
        <f t="shared" si="10"/>
        <v>0.18166398400000003</v>
      </c>
      <c r="C63" s="87"/>
      <c r="E63" s="231">
        <v>0.22</v>
      </c>
      <c r="F63" s="231">
        <f t="shared" si="15"/>
        <v>0.1408</v>
      </c>
      <c r="K63">
        <v>52</v>
      </c>
      <c r="L63" s="231">
        <f t="shared" si="5"/>
        <v>0.52</v>
      </c>
      <c r="M63" s="231">
        <f t="shared" si="11"/>
        <v>0.352209664</v>
      </c>
      <c r="N63" s="231">
        <f t="shared" si="19"/>
        <v>0.2541544935424</v>
      </c>
      <c r="O63" s="231">
        <f t="shared" si="20"/>
        <v>0.30645762864639997</v>
      </c>
      <c r="P63" s="231">
        <f t="shared" si="21"/>
        <v>0.3802631637376</v>
      </c>
    </row>
    <row r="64" spans="1:16" ht="15">
      <c r="A64" s="247">
        <v>0.23</v>
      </c>
      <c r="B64" s="182">
        <f t="shared" si="10"/>
        <v>0.18719728600000002</v>
      </c>
      <c r="C64" s="87"/>
      <c r="E64" s="231">
        <v>0.23</v>
      </c>
      <c r="F64" s="231">
        <f t="shared" si="15"/>
        <v>0.1472</v>
      </c>
      <c r="K64">
        <v>53</v>
      </c>
      <c r="L64" s="231">
        <f t="shared" si="5"/>
        <v>0.53</v>
      </c>
      <c r="M64" s="231">
        <f t="shared" si="11"/>
        <v>0.358854466</v>
      </c>
      <c r="N64" s="231">
        <f t="shared" si="19"/>
        <v>0.2589493826656</v>
      </c>
      <c r="O64" s="231">
        <f t="shared" si="20"/>
        <v>0.31223927086659997</v>
      </c>
      <c r="P64" s="231">
        <f t="shared" si="21"/>
        <v>0.3874372242169</v>
      </c>
    </row>
    <row r="65" spans="1:16" ht="15">
      <c r="A65" s="247">
        <v>0.24</v>
      </c>
      <c r="B65" s="182">
        <f t="shared" si="10"/>
        <v>0.192692992</v>
      </c>
      <c r="C65" s="87"/>
      <c r="E65" s="231">
        <v>0.24</v>
      </c>
      <c r="F65" s="231">
        <f t="shared" si="15"/>
        <v>0.1536</v>
      </c>
      <c r="K65">
        <v>54</v>
      </c>
      <c r="L65" s="231">
        <f t="shared" si="5"/>
        <v>0.54</v>
      </c>
      <c r="M65" s="231">
        <f t="shared" si="11"/>
        <v>0.36561611200000005</v>
      </c>
      <c r="N65" s="231">
        <f t="shared" si="19"/>
        <v>0.2638285864192001</v>
      </c>
      <c r="O65" s="231">
        <f t="shared" si="20"/>
        <v>0.3181225790512001</v>
      </c>
      <c r="P65" s="231">
        <f t="shared" si="21"/>
        <v>0.3947374353208001</v>
      </c>
    </row>
    <row r="66" spans="1:16" ht="15">
      <c r="A66" s="247">
        <v>0.25</v>
      </c>
      <c r="B66" s="182">
        <f t="shared" si="10"/>
        <v>0.19815625</v>
      </c>
      <c r="C66" s="87"/>
      <c r="E66" s="231">
        <v>0.25</v>
      </c>
      <c r="F66" s="231">
        <v>0.16</v>
      </c>
      <c r="G66" t="s">
        <v>181</v>
      </c>
      <c r="K66">
        <v>55</v>
      </c>
      <c r="L66" s="231">
        <f t="shared" si="5"/>
        <v>0.55</v>
      </c>
      <c r="M66" s="231">
        <f t="shared" si="11"/>
        <v>0.37249974999999996</v>
      </c>
      <c r="N66" s="231">
        <f t="shared" si="19"/>
        <v>0.26879581960000004</v>
      </c>
      <c r="O66" s="231">
        <f t="shared" si="20"/>
        <v>0.324112032475</v>
      </c>
      <c r="P66" s="231">
        <f t="shared" si="21"/>
        <v>0.4021693550875</v>
      </c>
    </row>
    <row r="67" spans="1:16" ht="15">
      <c r="A67" s="247">
        <v>0.26</v>
      </c>
      <c r="B67" s="182">
        <f t="shared" si="10"/>
        <v>0.20359220800000002</v>
      </c>
      <c r="C67" s="87"/>
      <c r="E67" s="231">
        <v>0.26</v>
      </c>
      <c r="F67" s="231">
        <f>F66+$G$68</f>
        <v>0.1684</v>
      </c>
      <c r="G67" t="s">
        <v>180</v>
      </c>
      <c r="K67">
        <v>56</v>
      </c>
      <c r="L67" s="231">
        <f t="shared" si="5"/>
        <v>0.56</v>
      </c>
      <c r="M67" s="231">
        <f t="shared" si="11"/>
        <v>0.379510528</v>
      </c>
      <c r="N67" s="231">
        <f t="shared" si="19"/>
        <v>0.27385479700480003</v>
      </c>
      <c r="O67" s="231">
        <f t="shared" si="20"/>
        <v>0.3302121104128001</v>
      </c>
      <c r="P67" s="231">
        <f t="shared" si="21"/>
        <v>0.40973854155520006</v>
      </c>
    </row>
    <row r="68" spans="1:16" ht="15">
      <c r="A68" s="247">
        <v>0.27</v>
      </c>
      <c r="B68" s="182">
        <f t="shared" si="10"/>
        <v>0.20900601400000005</v>
      </c>
      <c r="C68" s="87"/>
      <c r="E68" s="231">
        <v>0.27</v>
      </c>
      <c r="F68" s="231">
        <f aca="true" t="shared" si="22" ref="F68:F90">F67+$G$68</f>
        <v>0.17679999999999998</v>
      </c>
      <c r="G68">
        <f>(F91-F66)/25</f>
        <v>0.0084</v>
      </c>
      <c r="K68">
        <v>57</v>
      </c>
      <c r="L68" s="231">
        <f t="shared" si="5"/>
        <v>0.57</v>
      </c>
      <c r="M68" s="231">
        <f t="shared" si="11"/>
        <v>0.38665359399999993</v>
      </c>
      <c r="N68" s="231">
        <f t="shared" si="19"/>
        <v>0.27900923343039996</v>
      </c>
      <c r="O68" s="231">
        <f t="shared" si="20"/>
        <v>0.3364272921394</v>
      </c>
      <c r="P68" s="231">
        <f t="shared" si="21"/>
        <v>0.41745055276209997</v>
      </c>
    </row>
    <row r="69" spans="1:16" ht="15">
      <c r="A69" s="247">
        <v>0.28</v>
      </c>
      <c r="B69" s="182">
        <f t="shared" si="10"/>
        <v>0.21440281600000002</v>
      </c>
      <c r="C69" s="87"/>
      <c r="E69" s="231">
        <v>0.28</v>
      </c>
      <c r="F69" s="231">
        <f t="shared" si="22"/>
        <v>0.18519999999999998</v>
      </c>
      <c r="K69">
        <v>58</v>
      </c>
      <c r="L69" s="231">
        <f t="shared" si="5"/>
        <v>0.58</v>
      </c>
      <c r="M69" s="231">
        <f t="shared" si="11"/>
        <v>0.3939340959999999</v>
      </c>
      <c r="N69" s="231">
        <f t="shared" si="19"/>
        <v>0.2842628436736</v>
      </c>
      <c r="O69" s="231">
        <f t="shared" si="20"/>
        <v>0.34276205692959993</v>
      </c>
      <c r="P69" s="231">
        <f t="shared" si="21"/>
        <v>0.4253109467463999</v>
      </c>
    </row>
    <row r="70" spans="1:16" ht="15.75" thickBot="1">
      <c r="A70" s="249">
        <v>0.29</v>
      </c>
      <c r="B70" s="188">
        <f t="shared" si="10"/>
        <v>0.219787762</v>
      </c>
      <c r="C70" s="87"/>
      <c r="E70" s="231">
        <v>0.29</v>
      </c>
      <c r="F70" s="231">
        <f t="shared" si="22"/>
        <v>0.19359999999999997</v>
      </c>
      <c r="K70">
        <v>59</v>
      </c>
      <c r="L70" s="231">
        <f t="shared" si="5"/>
        <v>0.59</v>
      </c>
      <c r="M70" s="231">
        <f t="shared" si="11"/>
        <v>0.401357182</v>
      </c>
      <c r="N70" s="231">
        <f t="shared" si="19"/>
        <v>0.28961934253120003</v>
      </c>
      <c r="O70" s="231">
        <f t="shared" si="20"/>
        <v>0.3492208840582</v>
      </c>
      <c r="P70" s="231">
        <f t="shared" si="21"/>
        <v>0.43332528154630007</v>
      </c>
    </row>
    <row r="71" spans="1:16" ht="15">
      <c r="A71" s="247">
        <v>0.3</v>
      </c>
      <c r="B71" s="182">
        <f aca="true" t="shared" si="23" ref="B71:B100">0.858*A71^3-0.78*A71^2+0.774*A71+0.04</f>
        <v>0.225166</v>
      </c>
      <c r="E71" s="231">
        <v>0.3</v>
      </c>
      <c r="F71" s="231">
        <f t="shared" si="22"/>
        <v>0.20199999999999996</v>
      </c>
      <c r="K71">
        <v>60</v>
      </c>
      <c r="L71" s="231">
        <f t="shared" si="5"/>
        <v>0.6</v>
      </c>
      <c r="M71" s="231">
        <f t="shared" si="11"/>
        <v>0.40892799999999996</v>
      </c>
      <c r="N71" s="231">
        <f>$M$4*M71*$M$7</f>
        <v>0.2950824448</v>
      </c>
      <c r="O71" s="231">
        <f>$M$5*M71*$M$7</f>
        <v>0.35580825280000006</v>
      </c>
      <c r="P71" s="231">
        <f>$M$6*M71*$M$7</f>
        <v>0.4414991152</v>
      </c>
    </row>
    <row r="72" spans="1:16" ht="15">
      <c r="A72" s="247">
        <v>0.31</v>
      </c>
      <c r="B72" s="182">
        <f t="shared" si="23"/>
        <v>0.23054267800000003</v>
      </c>
      <c r="E72" s="231">
        <v>0.31</v>
      </c>
      <c r="F72" s="231">
        <f t="shared" si="22"/>
        <v>0.21039999999999995</v>
      </c>
      <c r="K72">
        <v>61</v>
      </c>
      <c r="L72" s="231">
        <f t="shared" si="5"/>
        <v>0.61</v>
      </c>
      <c r="M72" s="231">
        <f t="shared" si="11"/>
        <v>0.41665169799999996</v>
      </c>
      <c r="N72" s="231">
        <f aca="true" t="shared" si="24" ref="N72:N80">$M$4*M72*$M$7</f>
        <v>0.3006558652768</v>
      </c>
      <c r="O72" s="231">
        <f aca="true" t="shared" si="25" ref="O72:O80">$M$5*M72*$M$7</f>
        <v>0.36252864242980004</v>
      </c>
      <c r="P72" s="231">
        <f aca="true" t="shared" si="26" ref="P72:P80">$M$6*M72*$M$7</f>
        <v>0.4498380057457</v>
      </c>
    </row>
    <row r="73" spans="1:16" ht="15">
      <c r="A73" s="247">
        <v>0.32</v>
      </c>
      <c r="B73" s="182">
        <f t="shared" si="23"/>
        <v>0.235922944</v>
      </c>
      <c r="E73" s="231">
        <v>0.32</v>
      </c>
      <c r="F73" s="231">
        <f t="shared" si="22"/>
        <v>0.21879999999999994</v>
      </c>
      <c r="K73">
        <v>62</v>
      </c>
      <c r="L73" s="231">
        <f t="shared" si="5"/>
        <v>0.62</v>
      </c>
      <c r="M73" s="231">
        <f t="shared" si="11"/>
        <v>0.424533424</v>
      </c>
      <c r="N73" s="231">
        <f t="shared" si="24"/>
        <v>0.3063433187584</v>
      </c>
      <c r="O73" s="231">
        <f t="shared" si="25"/>
        <v>0.36938653222240003</v>
      </c>
      <c r="P73" s="231">
        <f t="shared" si="26"/>
        <v>0.45834751122160006</v>
      </c>
    </row>
    <row r="74" spans="1:16" ht="15">
      <c r="A74" s="247">
        <v>0.33</v>
      </c>
      <c r="B74" s="182">
        <f t="shared" si="23"/>
        <v>0.24131194600000003</v>
      </c>
      <c r="E74" s="231">
        <v>0.33</v>
      </c>
      <c r="F74" s="231">
        <f t="shared" si="22"/>
        <v>0.22719999999999993</v>
      </c>
      <c r="K74">
        <v>63</v>
      </c>
      <c r="L74" s="231">
        <f t="shared" si="5"/>
        <v>0.63</v>
      </c>
      <c r="M74" s="231">
        <f t="shared" si="11"/>
        <v>0.43257832599999996</v>
      </c>
      <c r="N74" s="231">
        <f t="shared" si="24"/>
        <v>0.3121485200416</v>
      </c>
      <c r="O74" s="231">
        <f t="shared" si="25"/>
        <v>0.37638640145260005</v>
      </c>
      <c r="P74" s="231">
        <f t="shared" si="26"/>
        <v>0.4670331896659</v>
      </c>
    </row>
    <row r="75" spans="1:16" ht="15">
      <c r="A75" s="247">
        <v>0.34</v>
      </c>
      <c r="B75" s="182">
        <f t="shared" si="23"/>
        <v>0.246714832</v>
      </c>
      <c r="E75" s="231">
        <v>0.34</v>
      </c>
      <c r="F75" s="231">
        <f t="shared" si="22"/>
        <v>0.23559999999999992</v>
      </c>
      <c r="K75">
        <v>64</v>
      </c>
      <c r="L75" s="231">
        <f t="shared" si="5"/>
        <v>0.64</v>
      </c>
      <c r="M75" s="231">
        <f t="shared" si="11"/>
        <v>0.440791552</v>
      </c>
      <c r="N75" s="231">
        <f t="shared" si="24"/>
        <v>0.3180751839232</v>
      </c>
      <c r="O75" s="231">
        <f t="shared" si="25"/>
        <v>0.38353272939520006</v>
      </c>
      <c r="P75" s="231">
        <f t="shared" si="26"/>
        <v>0.47590059911680005</v>
      </c>
    </row>
    <row r="76" spans="1:16" ht="15">
      <c r="A76" s="247">
        <v>0.35</v>
      </c>
      <c r="B76" s="182">
        <f t="shared" si="23"/>
        <v>0.25213674999999997</v>
      </c>
      <c r="E76" s="231">
        <v>0.35</v>
      </c>
      <c r="F76" s="231">
        <f t="shared" si="22"/>
        <v>0.2439999999999999</v>
      </c>
      <c r="K76">
        <v>65</v>
      </c>
      <c r="L76" s="231">
        <f t="shared" si="5"/>
        <v>0.65</v>
      </c>
      <c r="M76" s="231">
        <f t="shared" si="11"/>
        <v>0.44917824999999995</v>
      </c>
      <c r="N76" s="231">
        <f t="shared" si="24"/>
        <v>0.32412702520000003</v>
      </c>
      <c r="O76" s="231">
        <f t="shared" si="25"/>
        <v>0.390829995325</v>
      </c>
      <c r="P76" s="231">
        <f t="shared" si="26"/>
        <v>0.4849552976125</v>
      </c>
    </row>
    <row r="77" spans="1:16" ht="15">
      <c r="A77" s="247">
        <v>0.36</v>
      </c>
      <c r="B77" s="182">
        <f t="shared" si="23"/>
        <v>0.257582848</v>
      </c>
      <c r="E77" s="231">
        <v>0.36</v>
      </c>
      <c r="F77" s="231">
        <f t="shared" si="22"/>
        <v>0.2523999999999999</v>
      </c>
      <c r="K77">
        <v>66</v>
      </c>
      <c r="L77" s="231">
        <f t="shared" si="5"/>
        <v>0.66</v>
      </c>
      <c r="M77" s="231">
        <f t="shared" si="11"/>
        <v>0.457743568</v>
      </c>
      <c r="N77" s="231">
        <f t="shared" si="24"/>
        <v>0.3303077586688</v>
      </c>
      <c r="O77" s="231">
        <f t="shared" si="25"/>
        <v>0.39828267851680005</v>
      </c>
      <c r="P77" s="231">
        <f t="shared" si="26"/>
        <v>0.49420284319120006</v>
      </c>
    </row>
    <row r="78" spans="1:16" ht="15">
      <c r="A78" s="247">
        <v>0.37</v>
      </c>
      <c r="B78" s="182">
        <f t="shared" si="23"/>
        <v>0.263058274</v>
      </c>
      <c r="E78" s="231">
        <v>0.37</v>
      </c>
      <c r="F78" s="231">
        <f t="shared" si="22"/>
        <v>0.2607999999999999</v>
      </c>
      <c r="K78">
        <v>67</v>
      </c>
      <c r="L78" s="231">
        <f t="shared" si="5"/>
        <v>0.67</v>
      </c>
      <c r="M78" s="231">
        <f t="shared" si="11"/>
        <v>0.466492654</v>
      </c>
      <c r="N78" s="231">
        <f t="shared" si="24"/>
        <v>0.33662109912640004</v>
      </c>
      <c r="O78" s="231">
        <f t="shared" si="25"/>
        <v>0.4058952582454</v>
      </c>
      <c r="P78" s="231">
        <f t="shared" si="26"/>
        <v>0.5036487938911001</v>
      </c>
    </row>
    <row r="79" spans="1:16" ht="15">
      <c r="A79" s="247">
        <v>0.38</v>
      </c>
      <c r="B79" s="182">
        <f t="shared" si="23"/>
        <v>0.268568176</v>
      </c>
      <c r="E79" s="231">
        <v>0.38</v>
      </c>
      <c r="F79" s="231">
        <f t="shared" si="22"/>
        <v>0.26919999999999994</v>
      </c>
      <c r="K79">
        <v>68</v>
      </c>
      <c r="L79" s="231">
        <f t="shared" si="5"/>
        <v>0.68</v>
      </c>
      <c r="M79" s="231">
        <f t="shared" si="11"/>
        <v>0.47543065599999995</v>
      </c>
      <c r="N79" s="231">
        <f t="shared" si="24"/>
        <v>0.3430707613696</v>
      </c>
      <c r="O79" s="231">
        <f t="shared" si="25"/>
        <v>0.4136722137856</v>
      </c>
      <c r="P79" s="231">
        <f t="shared" si="26"/>
        <v>0.5132987077504</v>
      </c>
    </row>
    <row r="80" spans="1:16" ht="15">
      <c r="A80" s="248">
        <v>0.39</v>
      </c>
      <c r="B80" s="246">
        <f t="shared" si="23"/>
        <v>0.274117702</v>
      </c>
      <c r="E80" s="231">
        <v>0.39</v>
      </c>
      <c r="F80" s="231">
        <f t="shared" si="22"/>
        <v>0.27759999999999996</v>
      </c>
      <c r="K80">
        <v>69</v>
      </c>
      <c r="L80" s="231">
        <f t="shared" si="5"/>
        <v>0.69</v>
      </c>
      <c r="M80" s="231">
        <f t="shared" si="11"/>
        <v>0.48456272199999995</v>
      </c>
      <c r="N80" s="231">
        <f t="shared" si="24"/>
        <v>0.34966046019520003</v>
      </c>
      <c r="O80" s="231">
        <f t="shared" si="25"/>
        <v>0.42161802441220003</v>
      </c>
      <c r="P80" s="231">
        <f t="shared" si="26"/>
        <v>0.5231581428073</v>
      </c>
    </row>
    <row r="81" spans="1:16" ht="15">
      <c r="A81" s="247">
        <v>0.4</v>
      </c>
      <c r="B81" s="182">
        <f t="shared" si="23"/>
        <v>0.279712</v>
      </c>
      <c r="E81" s="231">
        <v>0.4</v>
      </c>
      <c r="F81" s="231">
        <f t="shared" si="22"/>
        <v>0.286</v>
      </c>
      <c r="K81">
        <v>70</v>
      </c>
      <c r="L81" s="231">
        <f t="shared" si="5"/>
        <v>0.7</v>
      </c>
      <c r="M81" s="231">
        <f t="shared" si="11"/>
        <v>0.4938939999999999</v>
      </c>
      <c r="N81" s="231">
        <f>$M$4*M81*$M$7</f>
        <v>0.35639391039999996</v>
      </c>
      <c r="O81" s="231">
        <f>$M$5*M81*$M$7</f>
        <v>0.42973716939999995</v>
      </c>
      <c r="P81" s="231">
        <f>$M$6*M81*$M$7</f>
        <v>0.5332326571</v>
      </c>
    </row>
    <row r="82" spans="1:16" ht="15">
      <c r="A82" s="247">
        <v>0.41</v>
      </c>
      <c r="B82" s="182">
        <f t="shared" si="23"/>
        <v>0.285356218</v>
      </c>
      <c r="E82" s="231">
        <v>0.41</v>
      </c>
      <c r="F82" s="231">
        <f t="shared" si="22"/>
        <v>0.2944</v>
      </c>
      <c r="K82">
        <v>71</v>
      </c>
      <c r="L82" s="231">
        <f t="shared" si="5"/>
        <v>0.71</v>
      </c>
      <c r="M82" s="231">
        <f t="shared" si="11"/>
        <v>0.5034296380000001</v>
      </c>
      <c r="N82" s="231">
        <f aca="true" t="shared" si="27" ref="N82:N90">$M$4*M82*$M$7</f>
        <v>0.3632748267808001</v>
      </c>
      <c r="O82" s="231">
        <f aca="true" t="shared" si="28" ref="O82:O90">$M$5*M82*$M$7</f>
        <v>0.43803412802380015</v>
      </c>
      <c r="P82" s="231">
        <f aca="true" t="shared" si="29" ref="P82:P90">$M$6*M82*$M$7</f>
        <v>0.5435278086667001</v>
      </c>
    </row>
    <row r="83" spans="1:16" ht="15">
      <c r="A83" s="247">
        <v>0.42</v>
      </c>
      <c r="B83" s="182">
        <f t="shared" si="23"/>
        <v>0.29105550399999996</v>
      </c>
      <c r="E83" s="231">
        <v>0.42</v>
      </c>
      <c r="F83" s="231">
        <f t="shared" si="22"/>
        <v>0.3028</v>
      </c>
      <c r="K83">
        <v>72</v>
      </c>
      <c r="L83" s="231">
        <f t="shared" si="5"/>
        <v>0.72</v>
      </c>
      <c r="M83" s="231">
        <f t="shared" si="11"/>
        <v>0.5131747839999999</v>
      </c>
      <c r="N83" s="231">
        <f t="shared" si="27"/>
        <v>0.37030692413440003</v>
      </c>
      <c r="O83" s="231">
        <f t="shared" si="28"/>
        <v>0.44651337955840004</v>
      </c>
      <c r="P83" s="231">
        <f t="shared" si="29"/>
        <v>0.5540491555456001</v>
      </c>
    </row>
    <row r="84" spans="1:16" ht="15">
      <c r="A84" s="247">
        <v>0.43</v>
      </c>
      <c r="B84" s="182">
        <f t="shared" si="23"/>
        <v>0.296815006</v>
      </c>
      <c r="E84" s="231">
        <v>0.43</v>
      </c>
      <c r="F84" s="231">
        <f t="shared" si="22"/>
        <v>0.31120000000000003</v>
      </c>
      <c r="K84">
        <v>73</v>
      </c>
      <c r="L84" s="231">
        <f t="shared" si="5"/>
        <v>0.73</v>
      </c>
      <c r="M84" s="231">
        <f t="shared" si="11"/>
        <v>0.523134586</v>
      </c>
      <c r="N84" s="231">
        <f t="shared" si="27"/>
        <v>0.37749391725760006</v>
      </c>
      <c r="O84" s="231">
        <f t="shared" si="28"/>
        <v>0.4551794032786</v>
      </c>
      <c r="P84" s="231">
        <f t="shared" si="29"/>
        <v>0.5648022557749001</v>
      </c>
    </row>
    <row r="85" spans="1:16" ht="15">
      <c r="A85" s="247">
        <v>0.44</v>
      </c>
      <c r="B85" s="182">
        <f t="shared" si="23"/>
        <v>0.30263987200000003</v>
      </c>
      <c r="E85" s="231">
        <v>0.44</v>
      </c>
      <c r="F85" s="231">
        <f t="shared" si="22"/>
        <v>0.31960000000000005</v>
      </c>
      <c r="K85">
        <v>74</v>
      </c>
      <c r="L85" s="231">
        <f t="shared" si="5"/>
        <v>0.74</v>
      </c>
      <c r="M85" s="231">
        <f t="shared" si="11"/>
        <v>0.533314192</v>
      </c>
      <c r="N85" s="231">
        <f t="shared" si="27"/>
        <v>0.38483952094720003</v>
      </c>
      <c r="O85" s="231">
        <f t="shared" si="28"/>
        <v>0.4640366784592</v>
      </c>
      <c r="P85" s="231">
        <f t="shared" si="29"/>
        <v>0.5757926673928</v>
      </c>
    </row>
    <row r="86" spans="1:16" ht="15">
      <c r="A86" s="247">
        <v>0.45</v>
      </c>
      <c r="B86" s="182">
        <f t="shared" si="23"/>
        <v>0.30853525</v>
      </c>
      <c r="E86" s="231">
        <v>0.45</v>
      </c>
      <c r="F86" s="231">
        <f t="shared" si="22"/>
        <v>0.32800000000000007</v>
      </c>
      <c r="K86">
        <v>75</v>
      </c>
      <c r="L86" s="231">
        <f t="shared" si="5"/>
        <v>0.75</v>
      </c>
      <c r="M86" s="231">
        <f t="shared" si="11"/>
        <v>0.54371875</v>
      </c>
      <c r="N86" s="231">
        <f t="shared" si="27"/>
        <v>0.3923474500000001</v>
      </c>
      <c r="O86" s="231">
        <f t="shared" si="28"/>
        <v>0.4730896843750001</v>
      </c>
      <c r="P86" s="231">
        <f t="shared" si="29"/>
        <v>0.5870259484375001</v>
      </c>
    </row>
    <row r="87" spans="1:16" ht="15">
      <c r="A87" s="247">
        <v>0.46</v>
      </c>
      <c r="B87" s="182">
        <f t="shared" si="23"/>
        <v>0.314506288</v>
      </c>
      <c r="E87" s="231">
        <v>0.46</v>
      </c>
      <c r="F87" s="231">
        <f t="shared" si="22"/>
        <v>0.3364000000000001</v>
      </c>
      <c r="K87">
        <v>76</v>
      </c>
      <c r="L87" s="231">
        <f t="shared" si="5"/>
        <v>0.76</v>
      </c>
      <c r="M87" s="231">
        <f t="shared" si="11"/>
        <v>0.554353408</v>
      </c>
      <c r="N87" s="231">
        <f t="shared" si="27"/>
        <v>0.40002141921280004</v>
      </c>
      <c r="O87" s="231">
        <f t="shared" si="28"/>
        <v>0.48234290030080007</v>
      </c>
      <c r="P87" s="231">
        <f t="shared" si="29"/>
        <v>0.5985076569472001</v>
      </c>
    </row>
    <row r="88" spans="1:16" ht="15">
      <c r="A88" s="247">
        <v>0.47</v>
      </c>
      <c r="B88" s="182">
        <f t="shared" si="23"/>
        <v>0.320558134</v>
      </c>
      <c r="E88" s="231">
        <v>0.47</v>
      </c>
      <c r="F88" s="231">
        <f t="shared" si="22"/>
        <v>0.3448000000000001</v>
      </c>
      <c r="K88">
        <v>77</v>
      </c>
      <c r="L88" s="231">
        <f t="shared" si="5"/>
        <v>0.77</v>
      </c>
      <c r="M88" s="231">
        <f t="shared" si="11"/>
        <v>0.5652233140000001</v>
      </c>
      <c r="N88" s="231">
        <f t="shared" si="27"/>
        <v>0.40786514338240015</v>
      </c>
      <c r="O88" s="231">
        <f t="shared" si="28"/>
        <v>0.4918008055114002</v>
      </c>
      <c r="P88" s="231">
        <f t="shared" si="29"/>
        <v>0.6102433509601002</v>
      </c>
    </row>
    <row r="89" spans="1:16" ht="15">
      <c r="A89" s="247">
        <v>0.48</v>
      </c>
      <c r="B89" s="182">
        <f t="shared" si="23"/>
        <v>0.32669593599999996</v>
      </c>
      <c r="E89" s="231">
        <v>0.48</v>
      </c>
      <c r="F89" s="231">
        <f t="shared" si="22"/>
        <v>0.3532000000000001</v>
      </c>
      <c r="K89">
        <v>78</v>
      </c>
      <c r="L89" s="231">
        <f t="shared" si="5"/>
        <v>0.78</v>
      </c>
      <c r="M89" s="231">
        <f t="shared" si="11"/>
        <v>0.5763336160000001</v>
      </c>
      <c r="N89" s="231">
        <f t="shared" si="27"/>
        <v>0.4158823373056001</v>
      </c>
      <c r="O89" s="231">
        <f t="shared" si="28"/>
        <v>0.5014678792816002</v>
      </c>
      <c r="P89" s="231">
        <f t="shared" si="29"/>
        <v>0.6222385885144003</v>
      </c>
    </row>
    <row r="90" spans="1:16" ht="15">
      <c r="A90" s="248">
        <v>0.49</v>
      </c>
      <c r="B90" s="246">
        <f t="shared" si="23"/>
        <v>0.33292484199999994</v>
      </c>
      <c r="E90" s="231">
        <v>0.49</v>
      </c>
      <c r="F90" s="231">
        <f t="shared" si="22"/>
        <v>0.36160000000000014</v>
      </c>
      <c r="K90">
        <v>79</v>
      </c>
      <c r="L90" s="231">
        <f t="shared" si="5"/>
        <v>0.79</v>
      </c>
      <c r="M90" s="231">
        <f t="shared" si="11"/>
        <v>0.5876894619999999</v>
      </c>
      <c r="N90" s="231">
        <f t="shared" si="27"/>
        <v>0.42407671577920003</v>
      </c>
      <c r="O90" s="231">
        <f t="shared" si="28"/>
        <v>0.5113486008862</v>
      </c>
      <c r="P90" s="231">
        <f t="shared" si="29"/>
        <v>0.6344989276483001</v>
      </c>
    </row>
    <row r="91" spans="1:16" ht="15">
      <c r="A91" s="247">
        <v>0.5</v>
      </c>
      <c r="B91" s="182">
        <f t="shared" si="23"/>
        <v>0.33925</v>
      </c>
      <c r="E91" s="231">
        <v>0.5</v>
      </c>
      <c r="F91" s="231">
        <v>0.37</v>
      </c>
      <c r="K91">
        <v>80</v>
      </c>
      <c r="L91" s="231">
        <f t="shared" si="5"/>
        <v>0.8</v>
      </c>
      <c r="M91" s="231">
        <f t="shared" si="11"/>
        <v>0.599296</v>
      </c>
      <c r="N91" s="231">
        <f>$M$4*M91*$M$7</f>
        <v>0.4324519936000001</v>
      </c>
      <c r="O91" s="231">
        <f>$M$5*M91*$M$7</f>
        <v>0.5214474496000001</v>
      </c>
      <c r="P91" s="231">
        <f>$M$6*M91*$M$7</f>
        <v>0.6470299264000001</v>
      </c>
    </row>
    <row r="92" spans="1:16" ht="15">
      <c r="A92" s="247">
        <v>0.51</v>
      </c>
      <c r="B92" s="182">
        <f t="shared" si="23"/>
        <v>0.345676558</v>
      </c>
      <c r="E92" s="231">
        <v>0.51</v>
      </c>
      <c r="F92" s="231">
        <f>F91+$G$93</f>
        <v>0.3768</v>
      </c>
      <c r="G92" t="s">
        <v>180</v>
      </c>
      <c r="K92">
        <v>81</v>
      </c>
      <c r="L92" s="231">
        <f t="shared" si="5"/>
        <v>0.81</v>
      </c>
      <c r="M92" s="231">
        <f t="shared" si="11"/>
        <v>0.6111583780000001</v>
      </c>
      <c r="N92" s="231">
        <f aca="true" t="shared" si="30" ref="N92:N100">$M$4*M92*$M$7</f>
        <v>0.4410118855648001</v>
      </c>
      <c r="O92" s="231">
        <f aca="true" t="shared" si="31" ref="O92:O100">$M$5*M92*$M$7</f>
        <v>0.5317689046978001</v>
      </c>
      <c r="P92" s="231">
        <f aca="true" t="shared" si="32" ref="P92:P100">$M$6*M92*$M$7</f>
        <v>0.6598371428077001</v>
      </c>
    </row>
    <row r="93" spans="1:16" ht="15">
      <c r="A93" s="247">
        <v>0.52</v>
      </c>
      <c r="B93" s="182">
        <f t="shared" si="23"/>
        <v>0.352209664</v>
      </c>
      <c r="E93" s="231">
        <v>0.52</v>
      </c>
      <c r="F93" s="231">
        <f aca="true" t="shared" si="33" ref="F93:F115">F92+$G$93</f>
        <v>0.38360000000000005</v>
      </c>
      <c r="G93">
        <f>(F116-F91)/25</f>
        <v>0.006800000000000001</v>
      </c>
      <c r="K93">
        <v>82</v>
      </c>
      <c r="L93" s="231">
        <f t="shared" si="5"/>
        <v>0.82</v>
      </c>
      <c r="M93" s="231">
        <f t="shared" si="11"/>
        <v>0.623281744</v>
      </c>
      <c r="N93" s="231">
        <f t="shared" si="30"/>
        <v>0.4497601064704001</v>
      </c>
      <c r="O93" s="231">
        <f t="shared" si="31"/>
        <v>0.5423174454544001</v>
      </c>
      <c r="P93" s="231">
        <f t="shared" si="32"/>
        <v>0.6729261349096002</v>
      </c>
    </row>
    <row r="94" spans="1:16" ht="15">
      <c r="A94" s="247">
        <v>0.53</v>
      </c>
      <c r="B94" s="182">
        <f t="shared" si="23"/>
        <v>0.358854466</v>
      </c>
      <c r="E94" s="231">
        <v>0.53</v>
      </c>
      <c r="F94" s="231">
        <f t="shared" si="33"/>
        <v>0.3904000000000001</v>
      </c>
      <c r="K94">
        <v>83</v>
      </c>
      <c r="L94" s="231">
        <f t="shared" si="5"/>
        <v>0.83</v>
      </c>
      <c r="M94" s="231">
        <f t="shared" si="11"/>
        <v>0.635671246</v>
      </c>
      <c r="N94" s="231">
        <f t="shared" si="30"/>
        <v>0.45870037111360007</v>
      </c>
      <c r="O94" s="231">
        <f t="shared" si="31"/>
        <v>0.5530975511446</v>
      </c>
      <c r="P94" s="231">
        <f t="shared" si="32"/>
        <v>0.6863024607439001</v>
      </c>
    </row>
    <row r="95" spans="1:16" ht="15">
      <c r="A95" s="247">
        <v>0.54</v>
      </c>
      <c r="B95" s="182">
        <f t="shared" si="23"/>
        <v>0.36561611200000005</v>
      </c>
      <c r="E95" s="231">
        <v>0.54</v>
      </c>
      <c r="F95" s="231">
        <f t="shared" si="33"/>
        <v>0.3972000000000001</v>
      </c>
      <c r="K95">
        <v>84</v>
      </c>
      <c r="L95" s="231">
        <f t="shared" si="5"/>
        <v>0.84</v>
      </c>
      <c r="M95" s="231">
        <f t="shared" si="11"/>
        <v>0.6483320319999999</v>
      </c>
      <c r="N95" s="231">
        <f t="shared" si="30"/>
        <v>0.46783639429119994</v>
      </c>
      <c r="O95" s="231">
        <f t="shared" si="31"/>
        <v>0.5641137010432</v>
      </c>
      <c r="P95" s="231">
        <f t="shared" si="32"/>
        <v>0.6999716783488</v>
      </c>
    </row>
    <row r="96" spans="1:16" ht="15">
      <c r="A96" s="247">
        <v>0.55</v>
      </c>
      <c r="B96" s="182">
        <f t="shared" si="23"/>
        <v>0.37249974999999996</v>
      </c>
      <c r="E96" s="231">
        <v>0.55</v>
      </c>
      <c r="F96" s="231">
        <f t="shared" si="33"/>
        <v>0.40400000000000014</v>
      </c>
      <c r="K96">
        <v>85</v>
      </c>
      <c r="L96" s="231">
        <f aca="true" t="shared" si="34" ref="L96:L110">K96/100</f>
        <v>0.85</v>
      </c>
      <c r="M96" s="231">
        <f t="shared" si="11"/>
        <v>0.66126925</v>
      </c>
      <c r="N96" s="231">
        <f t="shared" si="30"/>
        <v>0.47717189080000005</v>
      </c>
      <c r="O96" s="231">
        <f t="shared" si="31"/>
        <v>0.575370374425</v>
      </c>
      <c r="P96" s="231">
        <f t="shared" si="32"/>
        <v>0.7139393457625001</v>
      </c>
    </row>
    <row r="97" spans="1:16" ht="15">
      <c r="A97" s="247">
        <v>0.56</v>
      </c>
      <c r="B97" s="182">
        <f t="shared" si="23"/>
        <v>0.379510528</v>
      </c>
      <c r="E97" s="231">
        <v>0.56</v>
      </c>
      <c r="F97" s="231">
        <f t="shared" si="33"/>
        <v>0.41080000000000017</v>
      </c>
      <c r="K97">
        <v>86</v>
      </c>
      <c r="L97" s="231">
        <f t="shared" si="34"/>
        <v>0.86</v>
      </c>
      <c r="M97" s="231">
        <f t="shared" si="11"/>
        <v>0.6744880480000001</v>
      </c>
      <c r="N97" s="231">
        <f t="shared" si="30"/>
        <v>0.4867105754368001</v>
      </c>
      <c r="O97" s="231">
        <f t="shared" si="31"/>
        <v>0.5868720505648001</v>
      </c>
      <c r="P97" s="231">
        <f t="shared" si="32"/>
        <v>0.7282110210232001</v>
      </c>
    </row>
    <row r="98" spans="1:16" ht="15">
      <c r="A98" s="247">
        <v>0.57</v>
      </c>
      <c r="B98" s="182">
        <f t="shared" si="23"/>
        <v>0.38665359399999993</v>
      </c>
      <c r="E98" s="231">
        <v>0.57</v>
      </c>
      <c r="F98" s="231">
        <f t="shared" si="33"/>
        <v>0.4176000000000002</v>
      </c>
      <c r="K98">
        <v>87</v>
      </c>
      <c r="L98" s="231">
        <f t="shared" si="34"/>
        <v>0.87</v>
      </c>
      <c r="M98" s="231">
        <f t="shared" si="11"/>
        <v>0.6879935739999999</v>
      </c>
      <c r="N98" s="231">
        <f t="shared" si="30"/>
        <v>0.4964561629984</v>
      </c>
      <c r="O98" s="231">
        <f t="shared" si="31"/>
        <v>0.5986232087374</v>
      </c>
      <c r="P98" s="231">
        <f t="shared" si="32"/>
        <v>0.7427922621691001</v>
      </c>
    </row>
    <row r="99" spans="1:16" ht="15">
      <c r="A99" s="247">
        <v>0.58</v>
      </c>
      <c r="B99" s="182">
        <f t="shared" si="23"/>
        <v>0.3939340959999999</v>
      </c>
      <c r="E99" s="231">
        <v>0.58</v>
      </c>
      <c r="F99" s="231">
        <f t="shared" si="33"/>
        <v>0.4244000000000002</v>
      </c>
      <c r="K99">
        <v>88</v>
      </c>
      <c r="L99" s="231">
        <f t="shared" si="34"/>
        <v>0.88</v>
      </c>
      <c r="M99" s="231">
        <f t="shared" si="11"/>
        <v>0.7017909760000001</v>
      </c>
      <c r="N99" s="231">
        <f t="shared" si="30"/>
        <v>0.5064123682816001</v>
      </c>
      <c r="O99" s="231">
        <f t="shared" si="31"/>
        <v>0.6106283282176002</v>
      </c>
      <c r="P99" s="231">
        <f t="shared" si="32"/>
        <v>0.7576886272384001</v>
      </c>
    </row>
    <row r="100" spans="1:16" ht="15.75" thickBot="1">
      <c r="A100" s="249">
        <v>0.59</v>
      </c>
      <c r="B100" s="188">
        <f t="shared" si="23"/>
        <v>0.401357182</v>
      </c>
      <c r="E100" s="231">
        <v>0.59</v>
      </c>
      <c r="F100" s="231">
        <f t="shared" si="33"/>
        <v>0.43120000000000025</v>
      </c>
      <c r="K100">
        <v>89</v>
      </c>
      <c r="L100" s="231">
        <f t="shared" si="34"/>
        <v>0.89</v>
      </c>
      <c r="M100" s="231">
        <f t="shared" si="11"/>
        <v>0.7158854020000001</v>
      </c>
      <c r="N100" s="231">
        <f t="shared" si="30"/>
        <v>0.5165829060832001</v>
      </c>
      <c r="O100" s="231">
        <f t="shared" si="31"/>
        <v>0.6228918882802001</v>
      </c>
      <c r="P100" s="231">
        <f t="shared" si="32"/>
        <v>0.7729056742693002</v>
      </c>
    </row>
    <row r="101" spans="1:16" ht="15">
      <c r="A101" s="247">
        <v>0.6</v>
      </c>
      <c r="B101" s="182">
        <f aca="true" t="shared" si="35" ref="B101:B130">0.858*A101^3-0.78*A101^2+0.774*A101+0.04</f>
        <v>0.40892799999999996</v>
      </c>
      <c r="E101" s="231">
        <v>0.6</v>
      </c>
      <c r="F101" s="231">
        <f t="shared" si="33"/>
        <v>0.4380000000000003</v>
      </c>
      <c r="K101">
        <v>90</v>
      </c>
      <c r="L101" s="231">
        <f t="shared" si="34"/>
        <v>0.9</v>
      </c>
      <c r="M101" s="231">
        <f t="shared" si="11"/>
        <v>0.7302820000000001</v>
      </c>
      <c r="N101" s="231">
        <f>$M$4*M101*$M$7</f>
        <v>0.5269714912000001</v>
      </c>
      <c r="O101" s="231">
        <f>$M$5*M101*$M$7</f>
        <v>0.6354183682000002</v>
      </c>
      <c r="P101" s="231">
        <f>$M$6*M101*$M$7</f>
        <v>0.7884489613000002</v>
      </c>
    </row>
    <row r="102" spans="1:16" ht="15">
      <c r="A102" s="247">
        <v>0.61</v>
      </c>
      <c r="B102" s="182">
        <f t="shared" si="35"/>
        <v>0.41665169799999996</v>
      </c>
      <c r="E102" s="231">
        <v>0.61</v>
      </c>
      <c r="F102" s="231">
        <f t="shared" si="33"/>
        <v>0.4448000000000003</v>
      </c>
      <c r="K102">
        <v>91</v>
      </c>
      <c r="L102" s="231">
        <f t="shared" si="34"/>
        <v>0.91</v>
      </c>
      <c r="M102" s="231">
        <f t="shared" si="11"/>
        <v>0.7449859180000001</v>
      </c>
      <c r="N102" s="231">
        <f aca="true" t="shared" si="36" ref="N102:N110">$M$4*M102*$M$7</f>
        <v>0.5375818384288001</v>
      </c>
      <c r="O102" s="231">
        <f aca="true" t="shared" si="37" ref="O102:O110">$M$5*M102*$M$7</f>
        <v>0.6482122472518002</v>
      </c>
      <c r="P102" s="231">
        <f aca="true" t="shared" si="38" ref="P102:P110">$M$6*M102*$M$7</f>
        <v>0.8043240463687003</v>
      </c>
    </row>
    <row r="103" spans="1:16" ht="15">
      <c r="A103" s="247">
        <v>0.62</v>
      </c>
      <c r="B103" s="182">
        <f t="shared" si="35"/>
        <v>0.424533424</v>
      </c>
      <c r="E103" s="231">
        <v>0.62</v>
      </c>
      <c r="F103" s="231">
        <f t="shared" si="33"/>
        <v>0.45160000000000033</v>
      </c>
      <c r="K103">
        <v>92</v>
      </c>
      <c r="L103" s="231">
        <f t="shared" si="34"/>
        <v>0.92</v>
      </c>
      <c r="M103" s="231">
        <f t="shared" si="11"/>
        <v>0.7600023040000001</v>
      </c>
      <c r="N103" s="231">
        <f t="shared" si="36"/>
        <v>0.5484176625664002</v>
      </c>
      <c r="O103" s="231">
        <f t="shared" si="37"/>
        <v>0.6612780047104002</v>
      </c>
      <c r="P103" s="231">
        <f t="shared" si="38"/>
        <v>0.8205364875136002</v>
      </c>
    </row>
    <row r="104" spans="1:16" ht="15">
      <c r="A104" s="247">
        <v>0.63</v>
      </c>
      <c r="B104" s="182">
        <f t="shared" si="35"/>
        <v>0.43257832599999996</v>
      </c>
      <c r="E104" s="231">
        <v>0.63</v>
      </c>
      <c r="F104" s="231">
        <f t="shared" si="33"/>
        <v>0.45840000000000036</v>
      </c>
      <c r="K104">
        <v>93</v>
      </c>
      <c r="L104" s="231">
        <f t="shared" si="34"/>
        <v>0.93</v>
      </c>
      <c r="M104" s="231">
        <f t="shared" si="11"/>
        <v>0.7753363059999999</v>
      </c>
      <c r="N104" s="231">
        <f t="shared" si="36"/>
        <v>0.5594826784096001</v>
      </c>
      <c r="O104" s="231">
        <f t="shared" si="37"/>
        <v>0.6746201198506</v>
      </c>
      <c r="P104" s="231">
        <f t="shared" si="38"/>
        <v>0.8370918427729</v>
      </c>
    </row>
    <row r="105" spans="1:16" ht="15">
      <c r="A105" s="247">
        <v>0.64</v>
      </c>
      <c r="B105" s="182">
        <f t="shared" si="35"/>
        <v>0.440791552</v>
      </c>
      <c r="E105" s="231">
        <v>0.64</v>
      </c>
      <c r="F105" s="231">
        <f t="shared" si="33"/>
        <v>0.4652000000000004</v>
      </c>
      <c r="K105">
        <v>94</v>
      </c>
      <c r="L105" s="231">
        <f t="shared" si="34"/>
        <v>0.94</v>
      </c>
      <c r="M105" s="231">
        <f t="shared" si="11"/>
        <v>0.790993072</v>
      </c>
      <c r="N105" s="231">
        <f t="shared" si="36"/>
        <v>0.5707806007552001</v>
      </c>
      <c r="O105" s="231">
        <f t="shared" si="37"/>
        <v>0.6882430719472</v>
      </c>
      <c r="P105" s="231">
        <f t="shared" si="38"/>
        <v>0.8539956701848002</v>
      </c>
    </row>
    <row r="106" spans="1:16" ht="15">
      <c r="A106" s="247">
        <v>0.65</v>
      </c>
      <c r="B106" s="182">
        <f t="shared" si="35"/>
        <v>0.44917824999999995</v>
      </c>
      <c r="E106" s="231">
        <v>0.65</v>
      </c>
      <c r="F106" s="231">
        <f t="shared" si="33"/>
        <v>0.4720000000000004</v>
      </c>
      <c r="K106">
        <v>95</v>
      </c>
      <c r="L106" s="231">
        <f t="shared" si="34"/>
        <v>0.95</v>
      </c>
      <c r="M106" s="231">
        <f t="shared" si="11"/>
        <v>0.8069777499999999</v>
      </c>
      <c r="N106" s="231">
        <f t="shared" si="36"/>
        <v>0.5823151444000001</v>
      </c>
      <c r="O106" s="231">
        <f t="shared" si="37"/>
        <v>0.702151340275</v>
      </c>
      <c r="P106" s="231">
        <f t="shared" si="38"/>
        <v>0.8712535277875001</v>
      </c>
    </row>
    <row r="107" spans="1:16" ht="15">
      <c r="A107" s="247">
        <v>0.66</v>
      </c>
      <c r="B107" s="182">
        <f t="shared" si="35"/>
        <v>0.457743568</v>
      </c>
      <c r="E107" s="231">
        <v>0.66</v>
      </c>
      <c r="F107" s="231">
        <f t="shared" si="33"/>
        <v>0.47880000000000045</v>
      </c>
      <c r="K107">
        <v>96</v>
      </c>
      <c r="L107" s="231">
        <f t="shared" si="34"/>
        <v>0.96</v>
      </c>
      <c r="M107" s="231">
        <f t="shared" si="11"/>
        <v>0.823295488</v>
      </c>
      <c r="N107" s="231">
        <f t="shared" si="36"/>
        <v>0.5940900241408</v>
      </c>
      <c r="O107" s="231">
        <f t="shared" si="37"/>
        <v>0.7163494041088001</v>
      </c>
      <c r="P107" s="231">
        <f t="shared" si="38"/>
        <v>0.8888709736192001</v>
      </c>
    </row>
    <row r="108" spans="1:16" ht="15">
      <c r="A108" s="247">
        <v>0.67</v>
      </c>
      <c r="B108" s="182">
        <f t="shared" si="35"/>
        <v>0.466492654</v>
      </c>
      <c r="E108" s="231">
        <v>0.67</v>
      </c>
      <c r="F108" s="231">
        <f t="shared" si="33"/>
        <v>0.4856000000000005</v>
      </c>
      <c r="K108">
        <v>97</v>
      </c>
      <c r="L108" s="231">
        <f t="shared" si="34"/>
        <v>0.97</v>
      </c>
      <c r="M108" s="231">
        <f t="shared" si="11"/>
        <v>0.839951434</v>
      </c>
      <c r="N108" s="231">
        <f t="shared" si="36"/>
        <v>0.6061089547744001</v>
      </c>
      <c r="O108" s="231">
        <f t="shared" si="37"/>
        <v>0.7308417427234002</v>
      </c>
      <c r="P108" s="231">
        <f t="shared" si="38"/>
        <v>0.9068535657181002</v>
      </c>
    </row>
    <row r="109" spans="1:16" ht="15">
      <c r="A109" s="247">
        <v>0.68</v>
      </c>
      <c r="B109" s="182">
        <f t="shared" si="35"/>
        <v>0.47543065599999995</v>
      </c>
      <c r="E109" s="231">
        <v>0.68</v>
      </c>
      <c r="F109" s="231">
        <f t="shared" si="33"/>
        <v>0.4924000000000005</v>
      </c>
      <c r="K109">
        <v>98</v>
      </c>
      <c r="L109" s="231">
        <f t="shared" si="34"/>
        <v>0.98</v>
      </c>
      <c r="M109" s="231">
        <f t="shared" si="11"/>
        <v>0.8569507359999999</v>
      </c>
      <c r="N109" s="231">
        <f t="shared" si="36"/>
        <v>0.6183756510976</v>
      </c>
      <c r="O109" s="231">
        <f t="shared" si="37"/>
        <v>0.7456328353936</v>
      </c>
      <c r="P109" s="231">
        <f t="shared" si="38"/>
        <v>0.9252068621224001</v>
      </c>
    </row>
    <row r="110" spans="1:16" ht="15">
      <c r="A110" s="248">
        <v>0.69</v>
      </c>
      <c r="B110" s="246">
        <f t="shared" si="35"/>
        <v>0.48456272199999995</v>
      </c>
      <c r="E110" s="231">
        <v>0.69</v>
      </c>
      <c r="F110" s="231">
        <f t="shared" si="33"/>
        <v>0.49920000000000053</v>
      </c>
      <c r="K110">
        <v>99</v>
      </c>
      <c r="L110" s="231">
        <f t="shared" si="34"/>
        <v>0.99</v>
      </c>
      <c r="M110" s="231">
        <f t="shared" si="11"/>
        <v>0.874298542</v>
      </c>
      <c r="N110" s="231">
        <f t="shared" si="36"/>
        <v>0.6308938279072</v>
      </c>
      <c r="O110" s="231">
        <f t="shared" si="37"/>
        <v>0.7607271613942</v>
      </c>
      <c r="P110" s="231">
        <f t="shared" si="38"/>
        <v>0.9439364208703002</v>
      </c>
    </row>
    <row r="111" spans="1:16" ht="15">
      <c r="A111" s="247">
        <v>0.7</v>
      </c>
      <c r="B111" s="182">
        <f t="shared" si="35"/>
        <v>0.4938939999999999</v>
      </c>
      <c r="E111" s="231">
        <v>0.7</v>
      </c>
      <c r="F111" s="231">
        <f t="shared" si="33"/>
        <v>0.5060000000000006</v>
      </c>
      <c r="K111">
        <v>100</v>
      </c>
      <c r="L111" s="231">
        <v>1</v>
      </c>
      <c r="M111" s="231">
        <f t="shared" si="11"/>
        <v>0.892</v>
      </c>
      <c r="N111" s="231">
        <f>$M$4*M111*$M$7</f>
        <v>0.6436672000000001</v>
      </c>
      <c r="O111" s="231">
        <f>$M$5*M111*$M$7</f>
        <v>0.7761292000000002</v>
      </c>
      <c r="P111" s="231">
        <f>$M$6*M111*$M$7</f>
        <v>0.9630478000000001</v>
      </c>
    </row>
    <row r="112" spans="1:6" ht="15">
      <c r="A112" s="247">
        <v>0.71</v>
      </c>
      <c r="B112" s="182">
        <f t="shared" si="35"/>
        <v>0.5034296380000001</v>
      </c>
      <c r="E112" s="231">
        <v>0.71</v>
      </c>
      <c r="F112" s="231">
        <f t="shared" si="33"/>
        <v>0.5128000000000006</v>
      </c>
    </row>
    <row r="113" spans="1:6" ht="15">
      <c r="A113" s="247">
        <v>0.72</v>
      </c>
      <c r="B113" s="182">
        <f t="shared" si="35"/>
        <v>0.5131747839999999</v>
      </c>
      <c r="E113" s="231">
        <v>0.72</v>
      </c>
      <c r="F113" s="231">
        <f t="shared" si="33"/>
        <v>0.5196000000000006</v>
      </c>
    </row>
    <row r="114" spans="1:6" ht="15">
      <c r="A114" s="247">
        <v>0.73</v>
      </c>
      <c r="B114" s="182">
        <f t="shared" si="35"/>
        <v>0.523134586</v>
      </c>
      <c r="E114" s="231">
        <v>0.73</v>
      </c>
      <c r="F114" s="231">
        <f t="shared" si="33"/>
        <v>0.5264000000000006</v>
      </c>
    </row>
    <row r="115" spans="1:6" ht="15">
      <c r="A115" s="247">
        <v>0.74</v>
      </c>
      <c r="B115" s="182">
        <f t="shared" si="35"/>
        <v>0.533314192</v>
      </c>
      <c r="E115" s="231">
        <v>0.74</v>
      </c>
      <c r="F115" s="231">
        <f t="shared" si="33"/>
        <v>0.5332000000000007</v>
      </c>
    </row>
    <row r="116" spans="1:7" ht="15">
      <c r="A116" s="247">
        <v>0.75</v>
      </c>
      <c r="B116" s="182">
        <f t="shared" si="35"/>
        <v>0.54371875</v>
      </c>
      <c r="E116" s="231">
        <v>0.75</v>
      </c>
      <c r="F116" s="231">
        <v>0.54</v>
      </c>
      <c r="G116" t="s">
        <v>180</v>
      </c>
    </row>
    <row r="117" spans="1:7" ht="15">
      <c r="A117" s="247">
        <v>0.76</v>
      </c>
      <c r="B117" s="182">
        <f t="shared" si="35"/>
        <v>0.554353408</v>
      </c>
      <c r="E117" s="231">
        <v>0.76</v>
      </c>
      <c r="F117" s="231">
        <f>F116+$G$117</f>
        <v>0.5476000000000001</v>
      </c>
      <c r="G117">
        <f>(F141-F116)/25</f>
        <v>0.007599999999999998</v>
      </c>
    </row>
    <row r="118" spans="1:6" ht="15">
      <c r="A118" s="247">
        <v>0.77</v>
      </c>
      <c r="B118" s="182">
        <f t="shared" si="35"/>
        <v>0.5652233140000001</v>
      </c>
      <c r="E118" s="231">
        <v>0.77</v>
      </c>
      <c r="F118" s="231">
        <f aca="true" t="shared" si="39" ref="F118:F140">F117+$G$117</f>
        <v>0.5552000000000001</v>
      </c>
    </row>
    <row r="119" spans="1:6" ht="15">
      <c r="A119" s="247">
        <v>0.78</v>
      </c>
      <c r="B119" s="182">
        <f t="shared" si="35"/>
        <v>0.5763336160000001</v>
      </c>
      <c r="E119" s="231">
        <v>0.78</v>
      </c>
      <c r="F119" s="231">
        <f t="shared" si="39"/>
        <v>0.5628000000000002</v>
      </c>
    </row>
    <row r="120" spans="1:6" ht="15">
      <c r="A120" s="248">
        <v>0.79</v>
      </c>
      <c r="B120" s="246">
        <f t="shared" si="35"/>
        <v>0.5876894619999999</v>
      </c>
      <c r="E120" s="231">
        <v>0.79</v>
      </c>
      <c r="F120" s="231">
        <f t="shared" si="39"/>
        <v>0.5704000000000002</v>
      </c>
    </row>
    <row r="121" spans="1:6" ht="15">
      <c r="A121" s="247">
        <v>0.8</v>
      </c>
      <c r="B121" s="182">
        <f t="shared" si="35"/>
        <v>0.599296</v>
      </c>
      <c r="E121" s="231">
        <v>0.8</v>
      </c>
      <c r="F121" s="231">
        <f t="shared" si="39"/>
        <v>0.5780000000000003</v>
      </c>
    </row>
    <row r="122" spans="1:6" ht="15">
      <c r="A122" s="247">
        <v>0.81</v>
      </c>
      <c r="B122" s="182">
        <f t="shared" si="35"/>
        <v>0.6111583780000001</v>
      </c>
      <c r="E122" s="231">
        <v>0.81</v>
      </c>
      <c r="F122" s="231">
        <f t="shared" si="39"/>
        <v>0.5856000000000003</v>
      </c>
    </row>
    <row r="123" spans="1:6" ht="15">
      <c r="A123" s="247">
        <v>0.82</v>
      </c>
      <c r="B123" s="182">
        <f t="shared" si="35"/>
        <v>0.623281744</v>
      </c>
      <c r="E123" s="231">
        <v>0.820000000000001</v>
      </c>
      <c r="F123" s="231">
        <f t="shared" si="39"/>
        <v>0.5932000000000004</v>
      </c>
    </row>
    <row r="124" spans="1:6" ht="15">
      <c r="A124" s="247">
        <v>0.83</v>
      </c>
      <c r="B124" s="182">
        <f t="shared" si="35"/>
        <v>0.635671246</v>
      </c>
      <c r="E124" s="231">
        <v>0.830000000000001</v>
      </c>
      <c r="F124" s="231">
        <f t="shared" si="39"/>
        <v>0.6008000000000004</v>
      </c>
    </row>
    <row r="125" spans="1:6" ht="15">
      <c r="A125" s="247">
        <v>0.84</v>
      </c>
      <c r="B125" s="182">
        <f t="shared" si="35"/>
        <v>0.6483320319999999</v>
      </c>
      <c r="E125" s="231">
        <v>0.840000000000001</v>
      </c>
      <c r="F125" s="231">
        <f t="shared" si="39"/>
        <v>0.6084000000000005</v>
      </c>
    </row>
    <row r="126" spans="1:6" ht="15">
      <c r="A126" s="247">
        <v>0.85</v>
      </c>
      <c r="B126" s="182">
        <f t="shared" si="35"/>
        <v>0.66126925</v>
      </c>
      <c r="E126" s="231">
        <v>0.850000000000001</v>
      </c>
      <c r="F126" s="231">
        <f t="shared" si="39"/>
        <v>0.6160000000000005</v>
      </c>
    </row>
    <row r="127" spans="1:6" ht="15">
      <c r="A127" s="247">
        <v>0.86</v>
      </c>
      <c r="B127" s="182">
        <f t="shared" si="35"/>
        <v>0.6744880480000001</v>
      </c>
      <c r="E127" s="231">
        <v>0.860000000000001</v>
      </c>
      <c r="F127" s="231">
        <f t="shared" si="39"/>
        <v>0.6236000000000006</v>
      </c>
    </row>
    <row r="128" spans="1:6" ht="15">
      <c r="A128" s="247">
        <v>0.87</v>
      </c>
      <c r="B128" s="182">
        <f t="shared" si="35"/>
        <v>0.6879935739999999</v>
      </c>
      <c r="E128" s="231">
        <v>0.870000000000001</v>
      </c>
      <c r="F128" s="231">
        <f t="shared" si="39"/>
        <v>0.6312000000000006</v>
      </c>
    </row>
    <row r="129" spans="1:6" ht="15">
      <c r="A129" s="247">
        <v>0.88</v>
      </c>
      <c r="B129" s="182">
        <f t="shared" si="35"/>
        <v>0.7017909760000001</v>
      </c>
      <c r="E129" s="231">
        <v>0.880000000000001</v>
      </c>
      <c r="F129" s="231">
        <f t="shared" si="39"/>
        <v>0.6388000000000007</v>
      </c>
    </row>
    <row r="130" spans="1:6" ht="15.75" thickBot="1">
      <c r="A130" s="249">
        <v>0.89</v>
      </c>
      <c r="B130" s="188">
        <f t="shared" si="35"/>
        <v>0.7158854020000001</v>
      </c>
      <c r="E130" s="231">
        <v>0.890000000000001</v>
      </c>
      <c r="F130" s="231">
        <f t="shared" si="39"/>
        <v>0.6464000000000008</v>
      </c>
    </row>
    <row r="131" spans="5:6" ht="12.75">
      <c r="E131" s="231">
        <v>0.900000000000001</v>
      </c>
      <c r="F131" s="231">
        <f t="shared" si="39"/>
        <v>0.6540000000000008</v>
      </c>
    </row>
    <row r="132" spans="5:6" ht="12.75">
      <c r="E132" s="231">
        <v>0.910000000000001</v>
      </c>
      <c r="F132" s="231">
        <f t="shared" si="39"/>
        <v>0.6616000000000009</v>
      </c>
    </row>
    <row r="133" spans="5:6" ht="12.75">
      <c r="E133" s="231">
        <v>0.920000000000001</v>
      </c>
      <c r="F133" s="231">
        <f t="shared" si="39"/>
        <v>0.6692000000000009</v>
      </c>
    </row>
    <row r="134" spans="5:6" ht="12.75">
      <c r="E134" s="231">
        <v>0.930000000000001</v>
      </c>
      <c r="F134" s="231">
        <f t="shared" si="39"/>
        <v>0.676800000000001</v>
      </c>
    </row>
    <row r="135" spans="5:6" ht="12.75">
      <c r="E135" s="231">
        <v>0.940000000000001</v>
      </c>
      <c r="F135" s="231">
        <f t="shared" si="39"/>
        <v>0.684400000000001</v>
      </c>
    </row>
    <row r="136" spans="5:6" ht="12.75">
      <c r="E136" s="231">
        <v>0.950000000000001</v>
      </c>
      <c r="F136" s="231">
        <f t="shared" si="39"/>
        <v>0.6920000000000011</v>
      </c>
    </row>
    <row r="137" spans="5:6" ht="12.75">
      <c r="E137" s="231">
        <v>0.960000000000001</v>
      </c>
      <c r="F137" s="231">
        <f t="shared" si="39"/>
        <v>0.6996000000000011</v>
      </c>
    </row>
    <row r="138" spans="5:6" ht="12.75">
      <c r="E138" s="231">
        <v>0.970000000000001</v>
      </c>
      <c r="F138" s="231">
        <f t="shared" si="39"/>
        <v>0.7072000000000012</v>
      </c>
    </row>
    <row r="139" spans="5:6" ht="12.75">
      <c r="E139" s="231">
        <v>0.980000000000001</v>
      </c>
      <c r="F139" s="231">
        <f t="shared" si="39"/>
        <v>0.7148000000000012</v>
      </c>
    </row>
    <row r="140" spans="5:6" ht="12.75">
      <c r="E140" s="231">
        <v>0.990000000000001</v>
      </c>
      <c r="F140" s="231">
        <f t="shared" si="39"/>
        <v>0.7224000000000013</v>
      </c>
    </row>
    <row r="141" spans="5:6" ht="12.75">
      <c r="E141" s="231">
        <v>1</v>
      </c>
      <c r="F141" s="231">
        <v>0.73</v>
      </c>
    </row>
  </sheetData>
  <sheetProtection password="C928" sheet="1" objects="1" scenarios="1"/>
  <mergeCells count="4">
    <mergeCell ref="B26:C26"/>
    <mergeCell ref="E3:F3"/>
    <mergeCell ref="E14:F14"/>
    <mergeCell ref="B3:C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229"/>
  <sheetViews>
    <sheetView tabSelected="1" view="pageBreakPreview" zoomScale="75" zoomScaleSheetLayoutView="75" workbookViewId="0" topLeftCell="A1">
      <selection activeCell="J8" sqref="J8"/>
    </sheetView>
  </sheetViews>
  <sheetFormatPr defaultColWidth="9.140625" defaultRowHeight="12.75"/>
  <cols>
    <col min="2" max="2" width="10.57421875" style="0" customWidth="1"/>
    <col min="3" max="3" width="35.421875" style="0" customWidth="1"/>
    <col min="4" max="4" width="19.00390625" style="0" customWidth="1"/>
    <col min="5" max="5" width="9.7109375" style="0" customWidth="1"/>
    <col min="6" max="6" width="13.7109375" style="0" customWidth="1"/>
    <col min="7" max="7" width="4.7109375" style="0" customWidth="1"/>
    <col min="8" max="8" width="11.8515625" style="0" customWidth="1"/>
    <col min="9" max="9" width="6.7109375" style="0" customWidth="1"/>
    <col min="10" max="10" width="16.00390625" style="0" customWidth="1"/>
    <col min="11" max="11" width="6.00390625" style="0" customWidth="1"/>
    <col min="12" max="12" width="13.7109375" style="0" customWidth="1"/>
    <col min="13" max="13" width="2.8515625" style="0" customWidth="1"/>
    <col min="14" max="14" width="8.00390625" style="0" customWidth="1"/>
    <col min="15" max="15" width="5.28125" style="0" customWidth="1"/>
  </cols>
  <sheetData>
    <row r="1" spans="2:17" ht="24.75" customHeight="1">
      <c r="B1" s="3"/>
      <c r="C1" s="290" t="s">
        <v>203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11"/>
      <c r="Q1" s="11"/>
    </row>
    <row r="2" spans="2:17" ht="12.75">
      <c r="B2" s="4"/>
      <c r="C2" s="62"/>
      <c r="D2" s="62"/>
      <c r="E2" s="62"/>
      <c r="F2" s="62"/>
      <c r="G2" s="62"/>
      <c r="H2" s="62"/>
      <c r="I2" s="62"/>
      <c r="J2" s="62"/>
      <c r="K2" s="62"/>
      <c r="L2" s="60"/>
      <c r="M2" s="60"/>
      <c r="N2" s="11"/>
      <c r="O2" s="11"/>
      <c r="P2" s="11"/>
      <c r="Q2" s="11"/>
    </row>
    <row r="3" spans="2:17" ht="12.75">
      <c r="B3" s="4"/>
      <c r="C3" s="16"/>
      <c r="D3" s="26"/>
      <c r="E3" s="26"/>
      <c r="F3" s="26"/>
      <c r="G3" s="26"/>
      <c r="H3" s="26"/>
      <c r="I3" s="26"/>
      <c r="J3" s="26"/>
      <c r="K3" s="26"/>
      <c r="L3" s="27"/>
      <c r="M3" s="27"/>
      <c r="N3" s="16"/>
      <c r="O3" s="16"/>
      <c r="P3" s="16"/>
      <c r="Q3" s="16"/>
    </row>
    <row r="4" spans="2:17" ht="28.5" customHeight="1">
      <c r="B4" s="4"/>
      <c r="C4" s="122" t="s">
        <v>137</v>
      </c>
      <c r="D4" s="264"/>
      <c r="E4" s="265"/>
      <c r="F4" s="265"/>
      <c r="G4" s="265"/>
      <c r="H4" s="265"/>
      <c r="I4" s="265"/>
      <c r="J4" s="265"/>
      <c r="K4" s="282"/>
      <c r="L4" s="27"/>
      <c r="M4" s="27"/>
      <c r="N4" s="258" t="s">
        <v>202</v>
      </c>
      <c r="O4" s="257"/>
      <c r="P4" s="257"/>
      <c r="Q4" s="257"/>
    </row>
    <row r="5" spans="2:17" ht="16.5" customHeight="1">
      <c r="B5" s="4"/>
      <c r="C5" s="250" t="s">
        <v>172</v>
      </c>
      <c r="D5" s="303"/>
      <c r="E5" s="304"/>
      <c r="F5" s="305"/>
      <c r="G5" s="26"/>
      <c r="H5" s="225"/>
      <c r="I5" s="26"/>
      <c r="J5" s="16"/>
      <c r="K5" s="135"/>
      <c r="L5" s="27"/>
      <c r="M5" s="27"/>
      <c r="N5" s="16"/>
      <c r="O5" s="16"/>
      <c r="P5" s="16"/>
      <c r="Q5" s="16"/>
    </row>
    <row r="6" spans="2:17" ht="12.75">
      <c r="B6" s="4"/>
      <c r="C6" s="18"/>
      <c r="D6" s="26"/>
      <c r="E6" s="26"/>
      <c r="F6" s="26"/>
      <c r="G6" s="26"/>
      <c r="H6" s="26"/>
      <c r="I6" s="26"/>
      <c r="J6" s="26"/>
      <c r="K6" s="26"/>
      <c r="L6" s="27"/>
      <c r="M6" s="27"/>
      <c r="N6" s="16"/>
      <c r="O6" s="16"/>
      <c r="P6" s="105"/>
      <c r="Q6" s="105"/>
    </row>
    <row r="7" spans="2:17" ht="16.5" customHeight="1">
      <c r="B7" s="4"/>
      <c r="C7" s="104" t="s">
        <v>9</v>
      </c>
      <c r="D7" s="44"/>
      <c r="E7" s="44"/>
      <c r="F7" s="44"/>
      <c r="G7" s="44"/>
      <c r="H7" s="44"/>
      <c r="I7" s="44"/>
      <c r="J7" s="44"/>
      <c r="K7" s="44"/>
      <c r="L7" s="45"/>
      <c r="M7" s="45"/>
      <c r="N7" s="41"/>
      <c r="O7" s="41"/>
      <c r="P7" s="16"/>
      <c r="Q7" s="16"/>
    </row>
    <row r="8" spans="2:17" ht="13.5" thickBot="1">
      <c r="B8" s="4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16"/>
      <c r="O8" s="16"/>
      <c r="P8" s="16"/>
      <c r="Q8" s="16"/>
    </row>
    <row r="9" spans="2:17" ht="29.25" customHeight="1" thickBot="1">
      <c r="B9" s="4"/>
      <c r="C9" s="36" t="s">
        <v>135</v>
      </c>
      <c r="D9" s="106"/>
      <c r="E9" s="16"/>
      <c r="F9" s="292"/>
      <c r="G9" s="293"/>
      <c r="H9" s="110" t="s">
        <v>0</v>
      </c>
      <c r="I9" s="38"/>
      <c r="J9" s="38" t="s">
        <v>3</v>
      </c>
      <c r="K9" s="26"/>
      <c r="L9" s="27"/>
      <c r="M9" s="27"/>
      <c r="N9" s="16"/>
      <c r="O9" s="16"/>
      <c r="P9" s="16"/>
      <c r="Q9" s="16"/>
    </row>
    <row r="10" spans="2:17" ht="16.5" thickBot="1">
      <c r="B10" s="6"/>
      <c r="C10" s="36"/>
      <c r="D10" s="106"/>
      <c r="E10" s="16"/>
      <c r="F10" s="28"/>
      <c r="G10" s="28"/>
      <c r="H10" s="16"/>
      <c r="I10" s="38"/>
      <c r="J10" s="38"/>
      <c r="K10" s="28"/>
      <c r="L10" s="29"/>
      <c r="M10" s="29"/>
      <c r="N10" s="16"/>
      <c r="O10" s="16"/>
      <c r="P10" s="16"/>
      <c r="Q10" s="16"/>
    </row>
    <row r="11" spans="2:17" ht="29.25" customHeight="1" thickBot="1">
      <c r="B11" s="6"/>
      <c r="C11" s="36" t="s">
        <v>152</v>
      </c>
      <c r="D11" s="106"/>
      <c r="E11" s="16"/>
      <c r="F11" s="292"/>
      <c r="G11" s="293"/>
      <c r="H11" s="16"/>
      <c r="I11" s="38"/>
      <c r="J11" s="38" t="s">
        <v>108</v>
      </c>
      <c r="K11" s="28"/>
      <c r="L11" s="308" t="s">
        <v>119</v>
      </c>
      <c r="M11" s="309"/>
      <c r="N11" s="309"/>
      <c r="O11" s="309"/>
      <c r="P11" s="16"/>
      <c r="Q11" s="16"/>
    </row>
    <row r="12" spans="2:17" ht="16.5" thickBot="1">
      <c r="B12" s="6"/>
      <c r="C12" s="36"/>
      <c r="D12" s="106"/>
      <c r="E12" s="16"/>
      <c r="F12" s="28"/>
      <c r="G12" s="28"/>
      <c r="H12" s="16"/>
      <c r="I12" s="38"/>
      <c r="J12" s="38"/>
      <c r="K12" s="28"/>
      <c r="L12" s="309"/>
      <c r="M12" s="309"/>
      <c r="N12" s="309"/>
      <c r="O12" s="309"/>
      <c r="P12" s="16"/>
      <c r="Q12" s="16"/>
    </row>
    <row r="13" spans="2:17" ht="29.25" customHeight="1" thickBot="1">
      <c r="B13" s="6"/>
      <c r="C13" s="36" t="s">
        <v>136</v>
      </c>
      <c r="D13" s="16"/>
      <c r="E13" s="112" t="s">
        <v>107</v>
      </c>
      <c r="F13" s="299">
        <f>Box_A-Box_AOS</f>
        <v>0</v>
      </c>
      <c r="G13" s="300"/>
      <c r="H13" s="16"/>
      <c r="I13" s="38"/>
      <c r="J13" s="38" t="s">
        <v>109</v>
      </c>
      <c r="K13" s="28"/>
      <c r="L13" s="309"/>
      <c r="M13" s="309"/>
      <c r="N13" s="309"/>
      <c r="O13" s="309"/>
      <c r="P13" s="16"/>
      <c r="Q13" s="16"/>
    </row>
    <row r="14" spans="2:17" ht="21" thickBot="1">
      <c r="B14" s="6"/>
      <c r="C14" s="36"/>
      <c r="D14" s="106"/>
      <c r="E14" s="16"/>
      <c r="F14" s="28"/>
      <c r="G14" s="28"/>
      <c r="H14" s="16"/>
      <c r="I14" s="38"/>
      <c r="J14" s="38"/>
      <c r="K14" s="28"/>
      <c r="L14" s="215"/>
      <c r="M14" s="215"/>
      <c r="N14" s="215"/>
      <c r="O14" s="215"/>
      <c r="P14" s="16"/>
      <c r="Q14" s="16"/>
    </row>
    <row r="15" spans="2:17" ht="29.25" customHeight="1" thickBot="1">
      <c r="B15" s="6"/>
      <c r="C15" s="36" t="s">
        <v>173</v>
      </c>
      <c r="D15" s="106"/>
      <c r="E15" s="16"/>
      <c r="F15" s="301"/>
      <c r="G15" s="302"/>
      <c r="H15" s="16"/>
      <c r="I15" s="38"/>
      <c r="J15" s="226"/>
      <c r="K15" s="28"/>
      <c r="L15" s="215"/>
      <c r="M15" s="215"/>
      <c r="N15" s="215"/>
      <c r="O15" s="215"/>
      <c r="P15" s="16"/>
      <c r="Q15" s="16"/>
    </row>
    <row r="16" spans="2:17" ht="15.75" thickBot="1">
      <c r="B16" s="6"/>
      <c r="C16" s="16"/>
      <c r="D16" s="16"/>
      <c r="E16" s="16"/>
      <c r="F16" s="16"/>
      <c r="G16" s="16"/>
      <c r="H16" s="16"/>
      <c r="I16" s="38"/>
      <c r="J16" s="38"/>
      <c r="K16" s="28"/>
      <c r="L16" s="29"/>
      <c r="M16" s="29"/>
      <c r="N16" s="16"/>
      <c r="O16" s="16"/>
      <c r="P16" s="16"/>
      <c r="Q16" s="16"/>
    </row>
    <row r="17" spans="2:17" ht="29.25" customHeight="1" thickBot="1">
      <c r="B17" s="6"/>
      <c r="C17" s="36" t="s">
        <v>174</v>
      </c>
      <c r="D17" s="107"/>
      <c r="E17" s="214" t="s">
        <v>175</v>
      </c>
      <c r="F17" s="306">
        <f>IF(Box_A=0,0,F15/Box_AT)</f>
        <v>0</v>
      </c>
      <c r="G17" s="307"/>
      <c r="H17" s="29"/>
      <c r="I17" s="38"/>
      <c r="J17" s="227"/>
      <c r="K17" s="28"/>
      <c r="L17" s="29"/>
      <c r="M17" s="29"/>
      <c r="N17" s="16"/>
      <c r="O17" s="16"/>
      <c r="P17" s="16"/>
      <c r="Q17" s="16"/>
    </row>
    <row r="18" spans="2:17" ht="16.5" customHeight="1" thickBot="1">
      <c r="B18" s="6"/>
      <c r="C18" s="36"/>
      <c r="D18" s="107"/>
      <c r="E18" s="16"/>
      <c r="F18" s="28"/>
      <c r="G18" s="69"/>
      <c r="H18" s="49"/>
      <c r="I18" s="38"/>
      <c r="J18" s="109"/>
      <c r="K18" s="28"/>
      <c r="L18" s="29"/>
      <c r="M18" s="29"/>
      <c r="N18" s="16"/>
      <c r="O18" s="16"/>
      <c r="P18" s="16"/>
      <c r="Q18" s="16"/>
    </row>
    <row r="19" spans="2:17" ht="29.25" customHeight="1" thickBot="1">
      <c r="B19" s="6"/>
      <c r="C19" s="36" t="s">
        <v>54</v>
      </c>
      <c r="D19" s="107"/>
      <c r="E19" s="16"/>
      <c r="F19" s="297" t="e">
        <f>LOOKUP(DUA,Background!B5:B24,Background!C5:C24)</f>
        <v>#N/A</v>
      </c>
      <c r="G19" s="298"/>
      <c r="H19" s="49"/>
      <c r="I19" s="38"/>
      <c r="J19" s="125" t="s">
        <v>111</v>
      </c>
      <c r="K19" s="28"/>
      <c r="L19" s="29"/>
      <c r="M19" s="29"/>
      <c r="N19" s="16"/>
      <c r="O19" s="16"/>
      <c r="P19" s="16"/>
      <c r="Q19" s="16"/>
    </row>
    <row r="20" spans="2:17" ht="15.75" customHeight="1">
      <c r="B20" s="6"/>
      <c r="C20" s="251" t="s">
        <v>198</v>
      </c>
      <c r="D20" s="108"/>
      <c r="E20" s="16"/>
      <c r="F20" s="28"/>
      <c r="G20" s="28"/>
      <c r="H20" s="16"/>
      <c r="I20" s="28"/>
      <c r="J20" s="234"/>
      <c r="K20" s="28"/>
      <c r="L20" s="29"/>
      <c r="M20" s="29"/>
      <c r="N20" s="16"/>
      <c r="O20" s="16"/>
      <c r="P20" s="16"/>
      <c r="Q20" s="16"/>
    </row>
    <row r="21" spans="2:17" ht="15.75" customHeight="1">
      <c r="B21" s="6"/>
      <c r="C21" s="199" t="s">
        <v>153</v>
      </c>
      <c r="D21" s="195"/>
      <c r="E21" s="47"/>
      <c r="F21" s="6"/>
      <c r="G21" s="6"/>
      <c r="H21" s="47"/>
      <c r="I21" s="6"/>
      <c r="J21" s="196"/>
      <c r="K21" s="6"/>
      <c r="L21" s="197"/>
      <c r="M21" s="197"/>
      <c r="N21" s="47"/>
      <c r="O21" s="47"/>
      <c r="P21" s="47"/>
      <c r="Q21" s="47"/>
    </row>
    <row r="23" spans="2:17" ht="15.75" customHeight="1">
      <c r="B23" s="6"/>
      <c r="C23" s="194"/>
      <c r="D23" s="195"/>
      <c r="E23" s="47"/>
      <c r="F23" s="6"/>
      <c r="G23" s="6"/>
      <c r="H23" s="47"/>
      <c r="I23" s="6"/>
      <c r="J23" s="196"/>
      <c r="K23" s="6"/>
      <c r="L23" s="197"/>
      <c r="M23" s="197"/>
      <c r="N23" s="47"/>
      <c r="O23" s="47"/>
      <c r="P23" s="47"/>
      <c r="Q23" s="47"/>
    </row>
    <row r="24" ht="13.5" thickBot="1"/>
    <row r="25" spans="3:6" ht="15.75">
      <c r="C25" s="310" t="s">
        <v>99</v>
      </c>
      <c r="D25" s="311"/>
      <c r="E25" s="187"/>
      <c r="F25" s="187"/>
    </row>
    <row r="26" spans="3:6" ht="15">
      <c r="C26" s="88" t="s">
        <v>41</v>
      </c>
      <c r="D26" s="176" t="s">
        <v>110</v>
      </c>
      <c r="E26" s="1"/>
      <c r="F26" s="121"/>
    </row>
    <row r="27" spans="3:6" ht="15">
      <c r="C27" s="175">
        <v>1</v>
      </c>
      <c r="D27" s="182">
        <v>0.17</v>
      </c>
      <c r="E27" s="1"/>
      <c r="F27" s="83"/>
    </row>
    <row r="28" spans="3:6" ht="15">
      <c r="C28" s="175">
        <v>2</v>
      </c>
      <c r="D28" s="182">
        <v>0.25</v>
      </c>
      <c r="E28" s="1"/>
      <c r="F28" s="83"/>
    </row>
    <row r="29" spans="3:6" ht="15">
      <c r="C29" s="175" t="s">
        <v>42</v>
      </c>
      <c r="D29" s="182">
        <v>0.35</v>
      </c>
      <c r="E29" s="1"/>
      <c r="F29" s="83"/>
    </row>
    <row r="30" spans="3:6" ht="15">
      <c r="C30" s="175" t="s">
        <v>43</v>
      </c>
      <c r="D30" s="182">
        <v>0.4</v>
      </c>
      <c r="E30" s="1"/>
      <c r="F30" s="83"/>
    </row>
    <row r="31" spans="3:6" ht="15">
      <c r="C31" s="175">
        <v>7</v>
      </c>
      <c r="D31" s="182">
        <v>0.5</v>
      </c>
      <c r="E31" s="1"/>
      <c r="F31" s="83"/>
    </row>
    <row r="32" spans="3:6" ht="15">
      <c r="C32" s="175" t="s">
        <v>44</v>
      </c>
      <c r="D32" s="183">
        <v>0.55</v>
      </c>
      <c r="E32" s="1"/>
      <c r="F32" s="83"/>
    </row>
    <row r="33" spans="3:6" ht="15">
      <c r="C33" s="181" t="s">
        <v>46</v>
      </c>
      <c r="D33" s="183">
        <v>0.6</v>
      </c>
      <c r="E33" s="1"/>
      <c r="F33" s="83"/>
    </row>
    <row r="34" spans="3:6" ht="15.75" thickBot="1">
      <c r="C34" s="174" t="s">
        <v>45</v>
      </c>
      <c r="D34" s="188">
        <v>0.7</v>
      </c>
      <c r="E34" s="1"/>
      <c r="F34" s="83"/>
    </row>
    <row r="47" spans="2:17" ht="18">
      <c r="B47" s="7"/>
      <c r="C47" s="104" t="s">
        <v>8</v>
      </c>
      <c r="D47" s="48"/>
      <c r="E47" s="48"/>
      <c r="F47" s="42"/>
      <c r="G47" s="42"/>
      <c r="H47" s="42"/>
      <c r="I47" s="42"/>
      <c r="J47" s="42"/>
      <c r="K47" s="42"/>
      <c r="L47" s="43"/>
      <c r="M47" s="43"/>
      <c r="N47" s="41"/>
      <c r="O47" s="41"/>
      <c r="P47" s="16"/>
      <c r="Q47" s="16"/>
    </row>
    <row r="48" spans="2:17" ht="12.75">
      <c r="B48" s="6"/>
      <c r="C48" s="18"/>
      <c r="D48" s="30"/>
      <c r="E48" s="16"/>
      <c r="F48" s="28"/>
      <c r="G48" s="28"/>
      <c r="H48" s="28"/>
      <c r="I48" s="28"/>
      <c r="J48" s="28"/>
      <c r="K48" s="28"/>
      <c r="L48" s="29"/>
      <c r="M48" s="29"/>
      <c r="N48" s="16"/>
      <c r="O48" s="16"/>
      <c r="P48" s="16"/>
      <c r="Q48" s="16"/>
    </row>
    <row r="49" spans="2:17" ht="15">
      <c r="B49" s="7"/>
      <c r="C49" s="286" t="s">
        <v>55</v>
      </c>
      <c r="D49" s="118"/>
      <c r="E49" s="118"/>
      <c r="F49" s="286"/>
      <c r="G49" s="119"/>
      <c r="H49" s="118"/>
      <c r="I49" s="118"/>
      <c r="J49" s="286"/>
      <c r="K49" s="118"/>
      <c r="L49" s="318" t="s">
        <v>140</v>
      </c>
      <c r="M49" s="319"/>
      <c r="N49" s="11"/>
      <c r="O49" s="25"/>
      <c r="P49" s="25"/>
      <c r="Q49" s="25"/>
    </row>
    <row r="50" spans="2:17" ht="18.75" customHeight="1">
      <c r="B50" s="7"/>
      <c r="C50" s="294"/>
      <c r="D50" s="118"/>
      <c r="E50" s="118"/>
      <c r="F50" s="286"/>
      <c r="G50" s="119"/>
      <c r="H50" s="118"/>
      <c r="I50" s="118"/>
      <c r="J50" s="287"/>
      <c r="K50" s="118"/>
      <c r="L50" s="318"/>
      <c r="M50" s="319"/>
      <c r="N50" s="11"/>
      <c r="O50" s="25"/>
      <c r="P50" s="25"/>
      <c r="Q50" s="25"/>
    </row>
    <row r="51" spans="2:17" ht="12" customHeight="1" thickBot="1">
      <c r="B51" s="7"/>
      <c r="C51" s="295"/>
      <c r="D51" s="120"/>
      <c r="E51" s="120"/>
      <c r="F51" s="296"/>
      <c r="G51" s="120"/>
      <c r="H51" s="120"/>
      <c r="I51" s="120"/>
      <c r="J51" s="288"/>
      <c r="K51" s="120"/>
      <c r="L51" s="295"/>
      <c r="M51" s="320"/>
      <c r="N51" s="12"/>
      <c r="O51" s="12"/>
      <c r="P51" s="12"/>
      <c r="Q51" s="12"/>
    </row>
    <row r="52" spans="2:17" ht="12.75">
      <c r="B52" s="7"/>
      <c r="C52" s="13"/>
      <c r="D52" s="14"/>
      <c r="E52" s="14"/>
      <c r="F52" s="14"/>
      <c r="G52" s="14"/>
      <c r="H52" s="14"/>
      <c r="I52" s="14"/>
      <c r="J52" s="14"/>
      <c r="K52" s="14"/>
      <c r="L52" s="15"/>
      <c r="M52" s="15"/>
      <c r="N52" s="16"/>
      <c r="O52" s="16"/>
      <c r="P52" s="16"/>
      <c r="Q52" s="16"/>
    </row>
    <row r="53" spans="2:17" ht="13.5" thickBot="1">
      <c r="B53" s="7"/>
      <c r="C53" s="13"/>
      <c r="D53" s="14"/>
      <c r="E53" s="14"/>
      <c r="F53" s="14"/>
      <c r="G53" s="14"/>
      <c r="H53" s="14"/>
      <c r="I53" s="14"/>
      <c r="J53" s="14"/>
      <c r="K53" s="14"/>
      <c r="L53" s="15"/>
      <c r="M53" s="15"/>
      <c r="N53" s="16"/>
      <c r="O53" s="16"/>
      <c r="P53" s="16"/>
      <c r="Q53" s="16"/>
    </row>
    <row r="54" spans="2:17" ht="33" customHeight="1" thickBot="1">
      <c r="B54" s="7"/>
      <c r="C54" s="189" t="s">
        <v>2</v>
      </c>
      <c r="D54" s="190" t="s">
        <v>95</v>
      </c>
      <c r="E54" s="14"/>
      <c r="F54" s="14"/>
      <c r="G54" s="14"/>
      <c r="H54" s="17"/>
      <c r="I54" s="17"/>
      <c r="J54" s="52"/>
      <c r="K54" s="17"/>
      <c r="L54" s="114">
        <f>IF(M103=0,0,M103)</f>
        <v>0</v>
      </c>
      <c r="M54" s="15"/>
      <c r="N54" s="117" t="s">
        <v>0</v>
      </c>
      <c r="O54" s="110"/>
      <c r="P54" s="16"/>
      <c r="Q54" s="16"/>
    </row>
    <row r="55" spans="2:17" ht="16.5" customHeight="1" thickBot="1">
      <c r="B55" s="7"/>
      <c r="C55" s="191" t="s">
        <v>25</v>
      </c>
      <c r="D55" s="190"/>
      <c r="E55" s="14"/>
      <c r="F55" s="14"/>
      <c r="G55" s="14"/>
      <c r="H55" s="17"/>
      <c r="I55" s="14"/>
      <c r="J55" s="14"/>
      <c r="K55" s="14"/>
      <c r="L55" s="115"/>
      <c r="M55" s="15"/>
      <c r="N55" s="117"/>
      <c r="O55" s="110"/>
      <c r="P55" s="16"/>
      <c r="Q55" s="16"/>
    </row>
    <row r="56" spans="2:17" ht="33" customHeight="1" thickBot="1">
      <c r="B56" s="8"/>
      <c r="C56" s="192" t="s">
        <v>64</v>
      </c>
      <c r="D56" s="190" t="s">
        <v>96</v>
      </c>
      <c r="E56" s="19"/>
      <c r="F56" s="19"/>
      <c r="G56" s="19"/>
      <c r="H56" s="19"/>
      <c r="I56" s="19"/>
      <c r="J56" s="19"/>
      <c r="K56" s="19"/>
      <c r="L56" s="114">
        <f>N114</f>
        <v>0</v>
      </c>
      <c r="M56" s="20"/>
      <c r="N56" s="110" t="s">
        <v>0</v>
      </c>
      <c r="O56" s="110"/>
      <c r="P56" s="16"/>
      <c r="Q56" s="16"/>
    </row>
    <row r="57" spans="2:17" ht="16.5" customHeight="1" thickBot="1">
      <c r="B57" s="8"/>
      <c r="C57" s="191" t="s">
        <v>25</v>
      </c>
      <c r="D57" s="190"/>
      <c r="E57" s="19"/>
      <c r="F57" s="19"/>
      <c r="G57" s="19"/>
      <c r="H57" s="19"/>
      <c r="I57" s="19"/>
      <c r="J57" s="19"/>
      <c r="K57" s="19"/>
      <c r="L57" s="115"/>
      <c r="M57" s="20"/>
      <c r="N57" s="110"/>
      <c r="O57" s="110"/>
      <c r="P57" s="16"/>
      <c r="Q57" s="16"/>
    </row>
    <row r="58" spans="2:17" ht="33" customHeight="1" thickBot="1">
      <c r="B58" s="8"/>
      <c r="C58" s="192" t="s">
        <v>66</v>
      </c>
      <c r="D58" s="190" t="s">
        <v>97</v>
      </c>
      <c r="E58" s="19"/>
      <c r="F58" s="19"/>
      <c r="G58" s="19"/>
      <c r="H58" s="19"/>
      <c r="I58" s="19"/>
      <c r="J58" s="19"/>
      <c r="K58" s="19"/>
      <c r="L58" s="114">
        <f>J153</f>
        <v>0</v>
      </c>
      <c r="M58" s="20"/>
      <c r="N58" s="110" t="s">
        <v>0</v>
      </c>
      <c r="O58" s="110"/>
      <c r="P58" s="16"/>
      <c r="Q58" s="16"/>
    </row>
    <row r="59" spans="2:17" ht="15" customHeight="1" thickBot="1">
      <c r="B59" s="8"/>
      <c r="C59" s="191" t="s">
        <v>25</v>
      </c>
      <c r="D59" s="190"/>
      <c r="E59" s="19"/>
      <c r="F59" s="19"/>
      <c r="G59" s="19"/>
      <c r="H59" s="19"/>
      <c r="I59" s="19"/>
      <c r="J59" s="19"/>
      <c r="K59" s="19"/>
      <c r="L59" s="115"/>
      <c r="M59" s="20"/>
      <c r="N59" s="110"/>
      <c r="O59" s="110"/>
      <c r="P59" s="16"/>
      <c r="Q59" s="16"/>
    </row>
    <row r="60" spans="2:17" ht="33" customHeight="1" thickBot="1">
      <c r="B60" s="8"/>
      <c r="C60" s="193" t="s">
        <v>16</v>
      </c>
      <c r="D60" s="190" t="s">
        <v>98</v>
      </c>
      <c r="E60" s="19"/>
      <c r="F60" s="19"/>
      <c r="G60" s="19"/>
      <c r="H60" s="19"/>
      <c r="I60" s="19"/>
      <c r="J60" s="19"/>
      <c r="K60" s="19"/>
      <c r="L60" s="114">
        <f>N170</f>
        <v>0</v>
      </c>
      <c r="M60" s="20"/>
      <c r="N60" s="110" t="s">
        <v>0</v>
      </c>
      <c r="O60" s="110"/>
      <c r="P60" s="16"/>
      <c r="Q60" s="16"/>
    </row>
    <row r="61" spans="2:17" ht="15" customHeight="1">
      <c r="B61" s="8"/>
      <c r="C61" s="191" t="s">
        <v>25</v>
      </c>
      <c r="D61" s="190"/>
      <c r="E61" s="19"/>
      <c r="F61" s="19"/>
      <c r="G61" s="19"/>
      <c r="H61" s="19"/>
      <c r="I61" s="19"/>
      <c r="J61" s="19"/>
      <c r="K61" s="19"/>
      <c r="L61" s="115"/>
      <c r="M61" s="20"/>
      <c r="N61" s="110"/>
      <c r="O61" s="110"/>
      <c r="P61" s="16"/>
      <c r="Q61" s="16"/>
    </row>
    <row r="62" spans="2:17" ht="4.5" customHeight="1" thickBot="1">
      <c r="B62" s="8"/>
      <c r="C62" s="111"/>
      <c r="D62" s="111"/>
      <c r="E62" s="19"/>
      <c r="F62" s="19"/>
      <c r="G62" s="19"/>
      <c r="H62" s="19"/>
      <c r="I62" s="19"/>
      <c r="J62" s="19"/>
      <c r="K62" s="19"/>
      <c r="L62" s="115"/>
      <c r="M62" s="20"/>
      <c r="N62" s="110"/>
      <c r="O62" s="110"/>
      <c r="P62" s="16"/>
      <c r="Q62" s="16"/>
    </row>
    <row r="63" spans="2:17" ht="33" customHeight="1" thickBot="1" thickTop="1">
      <c r="B63" s="8"/>
      <c r="C63" s="36" t="s">
        <v>154</v>
      </c>
      <c r="D63" s="111"/>
      <c r="E63" s="19"/>
      <c r="F63" s="49"/>
      <c r="G63" s="16"/>
      <c r="H63" s="19"/>
      <c r="I63" s="19"/>
      <c r="J63" s="124" t="s">
        <v>139</v>
      </c>
      <c r="K63" s="39"/>
      <c r="L63" s="116">
        <f>L54+L56+L58+L60</f>
        <v>0</v>
      </c>
      <c r="M63" s="20"/>
      <c r="N63" s="110" t="s">
        <v>0</v>
      </c>
      <c r="O63" s="110"/>
      <c r="P63" s="16"/>
      <c r="Q63" s="16"/>
    </row>
    <row r="64" spans="2:17" ht="16.5" thickBot="1" thickTop="1">
      <c r="B64" s="8"/>
      <c r="C64" s="111"/>
      <c r="D64" s="111"/>
      <c r="E64" s="19"/>
      <c r="F64" s="19"/>
      <c r="G64" s="19"/>
      <c r="H64" s="19"/>
      <c r="I64" s="19"/>
      <c r="J64" s="19"/>
      <c r="K64" s="19"/>
      <c r="L64" s="20"/>
      <c r="M64" s="20"/>
      <c r="N64" s="16"/>
      <c r="O64" s="16"/>
      <c r="P64" s="16"/>
      <c r="Q64" s="16"/>
    </row>
    <row r="65" spans="2:17" ht="33" customHeight="1" thickBot="1">
      <c r="B65" s="6"/>
      <c r="C65" s="36" t="s">
        <v>131</v>
      </c>
      <c r="D65" s="16"/>
      <c r="E65" s="16"/>
      <c r="F65" s="113" t="s">
        <v>138</v>
      </c>
      <c r="G65" s="28"/>
      <c r="H65" s="284">
        <f>Box_AT-Box_EAM</f>
        <v>0</v>
      </c>
      <c r="I65" s="262"/>
      <c r="J65" s="110" t="s">
        <v>0</v>
      </c>
      <c r="K65" s="109" t="s">
        <v>120</v>
      </c>
      <c r="L65" s="29"/>
      <c r="M65" s="29"/>
      <c r="N65" s="16"/>
      <c r="O65" s="16"/>
      <c r="P65" s="16"/>
      <c r="Q65" s="16"/>
    </row>
    <row r="66" spans="2:17" ht="16.5" customHeight="1" thickBot="1">
      <c r="B66" s="6"/>
      <c r="C66" s="36"/>
      <c r="D66" s="16"/>
      <c r="E66" s="16"/>
      <c r="F66" s="158"/>
      <c r="G66" s="28"/>
      <c r="H66" s="110"/>
      <c r="I66" s="16"/>
      <c r="J66" s="40"/>
      <c r="K66" s="38"/>
      <c r="L66" s="29"/>
      <c r="M66" s="29"/>
      <c r="N66" s="16"/>
      <c r="O66" s="16"/>
      <c r="P66" s="16"/>
      <c r="Q66" s="16"/>
    </row>
    <row r="67" spans="2:17" ht="33" customHeight="1" thickBot="1">
      <c r="B67" s="8"/>
      <c r="C67" s="36" t="s">
        <v>132</v>
      </c>
      <c r="D67" s="16"/>
      <c r="E67" s="19"/>
      <c r="F67" s="113" t="s">
        <v>141</v>
      </c>
      <c r="G67" s="19"/>
      <c r="H67" s="284">
        <f>IF(F9=0,0,(PRODUCT(F13,F19)-L63)/F9)</f>
        <v>0</v>
      </c>
      <c r="I67" s="316"/>
      <c r="J67" s="16"/>
      <c r="K67" s="123" t="s">
        <v>121</v>
      </c>
      <c r="L67" s="20"/>
      <c r="M67" s="20"/>
      <c r="N67" s="16"/>
      <c r="O67" s="16"/>
      <c r="P67" s="16"/>
      <c r="Q67" s="16"/>
    </row>
    <row r="68" spans="2:17" ht="12.75">
      <c r="B68" s="8"/>
      <c r="C68" s="19"/>
      <c r="D68" s="19" t="s">
        <v>7</v>
      </c>
      <c r="E68" s="19"/>
      <c r="F68" s="19"/>
      <c r="G68" s="19"/>
      <c r="H68" s="19"/>
      <c r="I68" s="21"/>
      <c r="J68" s="19"/>
      <c r="K68" s="19"/>
      <c r="L68" s="20"/>
      <c r="M68" s="20"/>
      <c r="N68" s="16"/>
      <c r="O68" s="16"/>
      <c r="P68" s="16"/>
      <c r="Q68" s="16"/>
    </row>
    <row r="69" spans="2:17" ht="33" customHeight="1">
      <c r="B69" s="8"/>
      <c r="C69" s="36"/>
      <c r="D69" s="16"/>
      <c r="E69" s="16"/>
      <c r="F69" s="180"/>
      <c r="G69" s="179"/>
      <c r="H69" s="283"/>
      <c r="I69" s="283"/>
      <c r="J69" s="16"/>
      <c r="K69" s="125"/>
      <c r="L69" s="27"/>
      <c r="M69" s="27"/>
      <c r="N69" s="16"/>
      <c r="O69" s="16"/>
      <c r="P69" s="16"/>
      <c r="Q69" s="16"/>
    </row>
    <row r="70" spans="2:15" ht="12.75">
      <c r="B70" s="8"/>
      <c r="C70" s="8"/>
      <c r="D70" s="8"/>
      <c r="E70" s="8"/>
      <c r="F70" s="8"/>
      <c r="G70" s="8"/>
      <c r="H70" s="8"/>
      <c r="I70" s="10"/>
      <c r="J70" s="8"/>
      <c r="K70" s="8"/>
      <c r="L70" s="46"/>
      <c r="M70" s="46"/>
      <c r="N70" s="47"/>
      <c r="O70" s="47"/>
    </row>
    <row r="71" spans="4:8" ht="15">
      <c r="D71" s="173"/>
      <c r="E71" s="84"/>
      <c r="F71" s="184"/>
      <c r="G71" s="83"/>
      <c r="H71" s="102"/>
    </row>
    <row r="72" spans="2:17" ht="19.5" customHeight="1">
      <c r="B72" s="167" t="s">
        <v>100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</row>
    <row r="73" spans="2:17" ht="14.25">
      <c r="B73" s="166" t="s">
        <v>26</v>
      </c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</row>
    <row r="74" spans="2:17" ht="18.75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1"/>
      <c r="M74" s="60"/>
      <c r="N74" s="126" t="s">
        <v>142</v>
      </c>
      <c r="O74" s="60"/>
      <c r="P74" s="11"/>
      <c r="Q74" s="60"/>
    </row>
    <row r="75" spans="2:17" ht="20.25" customHeight="1">
      <c r="B75" s="38" t="s">
        <v>68</v>
      </c>
      <c r="C75" s="38"/>
      <c r="D75" s="38"/>
      <c r="E75" s="38"/>
      <c r="F75" s="38"/>
      <c r="G75" s="26"/>
      <c r="H75" s="26"/>
      <c r="I75" s="27"/>
      <c r="J75" s="34"/>
      <c r="K75" s="26"/>
      <c r="L75" s="32"/>
      <c r="M75" s="26"/>
      <c r="N75" s="31"/>
      <c r="O75" s="26"/>
      <c r="P75" s="33"/>
      <c r="Q75" s="26"/>
    </row>
    <row r="76" spans="2:17" ht="23.25" customHeight="1">
      <c r="B76" s="38"/>
      <c r="C76" s="38" t="s">
        <v>65</v>
      </c>
      <c r="D76" s="38"/>
      <c r="E76" s="127">
        <v>1</v>
      </c>
      <c r="F76" s="38"/>
      <c r="G76" s="26"/>
      <c r="H76" s="26"/>
      <c r="I76" s="26"/>
      <c r="J76" s="26"/>
      <c r="K76" s="26"/>
      <c r="L76" s="31"/>
      <c r="M76" s="26"/>
      <c r="N76" s="26"/>
      <c r="O76" s="26"/>
      <c r="P76" s="26"/>
      <c r="Q76" s="26"/>
    </row>
    <row r="77" spans="2:17" ht="15">
      <c r="B77" s="38"/>
      <c r="C77" s="128" t="s">
        <v>31</v>
      </c>
      <c r="D77" s="38"/>
      <c r="E77" s="127"/>
      <c r="F77" s="38"/>
      <c r="G77" s="26"/>
      <c r="H77" s="26"/>
      <c r="I77" s="26"/>
      <c r="J77" s="26"/>
      <c r="K77" s="26"/>
      <c r="L77" s="31"/>
      <c r="M77" s="26"/>
      <c r="N77" s="26"/>
      <c r="O77" s="26"/>
      <c r="P77" s="26"/>
      <c r="Q77" s="26"/>
    </row>
    <row r="78" spans="2:17" ht="15">
      <c r="B78" s="38"/>
      <c r="C78" s="38" t="s">
        <v>11</v>
      </c>
      <c r="D78" s="38"/>
      <c r="E78" s="38"/>
      <c r="F78" s="38"/>
      <c r="G78" s="26"/>
      <c r="H78" s="26"/>
      <c r="I78" s="26"/>
      <c r="J78" s="26"/>
      <c r="K78" s="26"/>
      <c r="L78" s="31"/>
      <c r="M78" s="26"/>
      <c r="N78" s="26"/>
      <c r="O78" s="26"/>
      <c r="P78" s="26"/>
      <c r="Q78" s="26"/>
    </row>
    <row r="79" spans="2:17" ht="15">
      <c r="B79" s="38"/>
      <c r="C79" s="129" t="s">
        <v>12</v>
      </c>
      <c r="D79" s="117" t="s">
        <v>13</v>
      </c>
      <c r="E79" s="130">
        <v>1</v>
      </c>
      <c r="F79" s="38"/>
      <c r="G79" s="26"/>
      <c r="H79" s="26"/>
      <c r="I79" s="26"/>
      <c r="J79" s="26"/>
      <c r="K79" s="26"/>
      <c r="L79" s="31"/>
      <c r="M79" s="26"/>
      <c r="N79" s="26"/>
      <c r="O79" s="26"/>
      <c r="P79" s="26"/>
      <c r="Q79" s="26"/>
    </row>
    <row r="80" spans="2:17" ht="15">
      <c r="B80" s="38"/>
      <c r="C80" s="159" t="s">
        <v>115</v>
      </c>
      <c r="D80" s="117" t="s">
        <v>13</v>
      </c>
      <c r="E80" s="130">
        <v>0.9</v>
      </c>
      <c r="F80" s="38"/>
      <c r="G80" s="26"/>
      <c r="H80" s="26"/>
      <c r="I80" s="26"/>
      <c r="J80" s="26"/>
      <c r="K80" s="26"/>
      <c r="L80" s="31"/>
      <c r="M80" s="26"/>
      <c r="N80" s="26"/>
      <c r="O80" s="26"/>
      <c r="P80" s="26"/>
      <c r="Q80" s="26"/>
    </row>
    <row r="81" spans="2:17" ht="15">
      <c r="B81" s="38"/>
      <c r="C81" s="159" t="s">
        <v>116</v>
      </c>
      <c r="D81" s="117" t="s">
        <v>13</v>
      </c>
      <c r="E81" s="130">
        <v>0.7</v>
      </c>
      <c r="F81" s="38"/>
      <c r="G81" s="26"/>
      <c r="H81" s="26"/>
      <c r="I81" s="26"/>
      <c r="J81" s="26"/>
      <c r="K81" s="26"/>
      <c r="L81" s="31"/>
      <c r="M81" s="26"/>
      <c r="N81" s="26"/>
      <c r="O81" s="26"/>
      <c r="P81" s="26"/>
      <c r="Q81" s="26"/>
    </row>
    <row r="82" spans="2:17" ht="15">
      <c r="B82" s="38"/>
      <c r="C82" s="159" t="s">
        <v>117</v>
      </c>
      <c r="D82" s="117" t="s">
        <v>13</v>
      </c>
      <c r="E82" s="130">
        <v>0.45</v>
      </c>
      <c r="F82" s="38"/>
      <c r="G82" s="26"/>
      <c r="H82" s="26"/>
      <c r="I82" s="26"/>
      <c r="J82" s="26"/>
      <c r="K82" s="26"/>
      <c r="L82" s="31"/>
      <c r="M82" s="26"/>
      <c r="N82" s="26"/>
      <c r="O82" s="26"/>
      <c r="P82" s="26"/>
      <c r="Q82" s="26"/>
    </row>
    <row r="83" spans="2:17" ht="18">
      <c r="B83" s="38"/>
      <c r="C83" s="159" t="s">
        <v>118</v>
      </c>
      <c r="D83" s="117" t="s">
        <v>13</v>
      </c>
      <c r="E83" s="130">
        <v>0.25</v>
      </c>
      <c r="F83" s="38"/>
      <c r="G83" s="26"/>
      <c r="H83" s="26"/>
      <c r="I83" s="26"/>
      <c r="J83" s="26"/>
      <c r="K83" s="225"/>
      <c r="L83" s="31"/>
      <c r="M83" s="26"/>
      <c r="N83" s="26"/>
      <c r="O83" s="26"/>
      <c r="P83" s="26"/>
      <c r="Q83" s="26"/>
    </row>
    <row r="84" spans="2:17" ht="6.75" customHeight="1" thickBot="1">
      <c r="B84" s="38"/>
      <c r="C84" s="38"/>
      <c r="D84" s="38"/>
      <c r="E84" s="38"/>
      <c r="F84" s="38"/>
      <c r="G84" s="26"/>
      <c r="H84" s="26"/>
      <c r="I84" s="26"/>
      <c r="J84" s="26"/>
      <c r="K84" s="26"/>
      <c r="L84" s="31"/>
      <c r="M84" s="26"/>
      <c r="N84" s="26"/>
      <c r="O84" s="26"/>
      <c r="P84" s="26"/>
      <c r="Q84" s="26"/>
    </row>
    <row r="85" spans="2:17" ht="30" customHeight="1" thickBot="1">
      <c r="B85" s="38"/>
      <c r="C85" s="38"/>
      <c r="D85" s="133" t="s">
        <v>67</v>
      </c>
      <c r="E85" s="38"/>
      <c r="F85" s="38"/>
      <c r="G85" s="26"/>
      <c r="H85" s="317"/>
      <c r="I85" s="302"/>
      <c r="J85" s="38"/>
      <c r="K85" s="38" t="s">
        <v>73</v>
      </c>
      <c r="L85" s="31"/>
      <c r="M85" s="26"/>
      <c r="N85" s="26"/>
      <c r="O85" s="26"/>
      <c r="P85" s="26"/>
      <c r="Q85" s="26"/>
    </row>
    <row r="86" spans="2:17" ht="11.25" customHeight="1" thickBot="1">
      <c r="B86" s="38"/>
      <c r="C86" s="38"/>
      <c r="D86" s="38"/>
      <c r="E86" s="38"/>
      <c r="F86" s="38"/>
      <c r="G86" s="26"/>
      <c r="H86" s="135"/>
      <c r="I86" s="16"/>
      <c r="J86" s="38"/>
      <c r="K86" s="38"/>
      <c r="L86" s="31"/>
      <c r="M86" s="26"/>
      <c r="N86" s="26"/>
      <c r="O86" s="26"/>
      <c r="P86" s="26"/>
      <c r="Q86" s="26"/>
    </row>
    <row r="87" spans="2:17" ht="30" customHeight="1" thickBot="1">
      <c r="B87" s="133" t="s">
        <v>24</v>
      </c>
      <c r="C87" s="38"/>
      <c r="D87" s="38"/>
      <c r="E87" s="38"/>
      <c r="F87" s="38"/>
      <c r="G87" s="26"/>
      <c r="H87" s="312"/>
      <c r="I87" s="313"/>
      <c r="J87" s="110"/>
      <c r="K87" s="38" t="s">
        <v>72</v>
      </c>
      <c r="L87" s="31"/>
      <c r="M87" s="26"/>
      <c r="N87" s="26"/>
      <c r="O87" s="26"/>
      <c r="P87" s="26"/>
      <c r="Q87" s="26"/>
    </row>
    <row r="88" spans="2:17" ht="6.75" customHeight="1">
      <c r="B88" s="38"/>
      <c r="C88" s="38"/>
      <c r="D88" s="38"/>
      <c r="E88" s="38"/>
      <c r="F88" s="38"/>
      <c r="G88" s="26"/>
      <c r="H88" s="135"/>
      <c r="I88" s="16"/>
      <c r="J88" s="38"/>
      <c r="K88" s="38"/>
      <c r="L88" s="31"/>
      <c r="M88" s="26"/>
      <c r="N88" s="26"/>
      <c r="O88" s="26"/>
      <c r="P88" s="26"/>
      <c r="Q88" s="34"/>
    </row>
    <row r="89" spans="2:17" ht="18">
      <c r="B89" s="110" t="s">
        <v>32</v>
      </c>
      <c r="C89" s="38"/>
      <c r="D89" s="38"/>
      <c r="E89" s="38"/>
      <c r="F89" s="38"/>
      <c r="G89" s="26"/>
      <c r="H89" s="135"/>
      <c r="I89" s="16"/>
      <c r="J89" s="110"/>
      <c r="K89" s="38"/>
      <c r="L89" s="31"/>
      <c r="M89" s="26"/>
      <c r="N89" s="26"/>
      <c r="O89" s="26"/>
      <c r="P89" s="26"/>
      <c r="Q89" s="34"/>
    </row>
    <row r="90" spans="2:27" s="16" customFormat="1" ht="17.25" customHeight="1">
      <c r="B90" s="110"/>
      <c r="C90" s="110" t="s">
        <v>39</v>
      </c>
      <c r="D90" s="130">
        <v>0.08</v>
      </c>
      <c r="E90" s="110"/>
      <c r="F90" s="110"/>
      <c r="H90" s="136"/>
      <c r="J90" s="110"/>
      <c r="K90" s="110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2:27" s="16" customFormat="1" ht="17.25" customHeight="1">
      <c r="B91" s="110"/>
      <c r="C91" s="110" t="s">
        <v>40</v>
      </c>
      <c r="D91" s="131">
        <v>0.13</v>
      </c>
      <c r="E91" s="110"/>
      <c r="F91" s="110"/>
      <c r="G91" s="24"/>
      <c r="H91" s="136"/>
      <c r="J91" s="110"/>
      <c r="K91" s="110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2:27" s="16" customFormat="1" ht="17.25" customHeight="1">
      <c r="B92" s="110"/>
      <c r="C92" s="110" t="s">
        <v>38</v>
      </c>
      <c r="D92" s="110">
        <v>0.19</v>
      </c>
      <c r="E92" s="110"/>
      <c r="F92" s="110"/>
      <c r="H92" s="136"/>
      <c r="J92" s="110"/>
      <c r="K92" s="110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2:27" s="16" customFormat="1" ht="17.25" customHeight="1">
      <c r="B93" s="110"/>
      <c r="C93" s="110" t="s">
        <v>37</v>
      </c>
      <c r="D93" s="130">
        <v>0.23</v>
      </c>
      <c r="E93" s="110"/>
      <c r="F93" s="110"/>
      <c r="H93" s="136"/>
      <c r="I93" s="232"/>
      <c r="J93" s="110"/>
      <c r="K93" s="110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2:27" s="16" customFormat="1" ht="17.25" customHeight="1">
      <c r="B94" s="110"/>
      <c r="C94" s="110" t="s">
        <v>36</v>
      </c>
      <c r="D94" s="131">
        <v>0.29</v>
      </c>
      <c r="E94" s="110"/>
      <c r="F94" s="110"/>
      <c r="G94" s="24"/>
      <c r="H94" s="136"/>
      <c r="J94" s="110"/>
      <c r="K94" s="110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2:27" s="16" customFormat="1" ht="17.25" customHeight="1">
      <c r="B95" s="110"/>
      <c r="C95" s="110" t="s">
        <v>35</v>
      </c>
      <c r="D95" s="131">
        <v>0.33</v>
      </c>
      <c r="E95" s="110"/>
      <c r="F95" s="110"/>
      <c r="G95" s="24"/>
      <c r="H95" s="136"/>
      <c r="J95" s="110"/>
      <c r="K95" s="110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2:27" s="16" customFormat="1" ht="17.25" customHeight="1">
      <c r="B96" s="110"/>
      <c r="C96" s="110" t="s">
        <v>34</v>
      </c>
      <c r="D96" s="110">
        <v>0.37</v>
      </c>
      <c r="E96" s="110"/>
      <c r="F96" s="110"/>
      <c r="H96" s="136"/>
      <c r="J96" s="110"/>
      <c r="K96" s="110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2:27" s="16" customFormat="1" ht="17.25" customHeight="1" thickBot="1">
      <c r="B97" s="110"/>
      <c r="C97" s="110" t="s">
        <v>33</v>
      </c>
      <c r="D97" s="132">
        <v>0.44</v>
      </c>
      <c r="E97" s="110"/>
      <c r="F97" s="110"/>
      <c r="G97" s="24"/>
      <c r="H97" s="136"/>
      <c r="J97" s="110"/>
      <c r="K97" s="244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2:17" ht="30" customHeight="1" thickBot="1">
      <c r="B98" s="38"/>
      <c r="C98" s="38"/>
      <c r="D98" s="133" t="s">
        <v>133</v>
      </c>
      <c r="E98" s="38"/>
      <c r="F98" s="127"/>
      <c r="G98" s="26"/>
      <c r="H98" s="314">
        <f>IF(DUA=0,0,LOOKUP(DUA,Background!E4:E11,Background!F4:F11))</f>
        <v>0</v>
      </c>
      <c r="I98" s="315"/>
      <c r="J98" s="38"/>
      <c r="K98" s="38" t="s">
        <v>71</v>
      </c>
      <c r="L98" s="31"/>
      <c r="M98" s="26"/>
      <c r="N98" s="26"/>
      <c r="O98" s="26"/>
      <c r="P98" s="26"/>
      <c r="Q98" s="34"/>
    </row>
    <row r="99" spans="2:17" ht="7.5" customHeight="1">
      <c r="B99" s="38"/>
      <c r="C99" s="38"/>
      <c r="D99" s="38"/>
      <c r="E99" s="38"/>
      <c r="F99" s="38"/>
      <c r="G99" s="26"/>
      <c r="H99" s="137"/>
      <c r="I99" s="16"/>
      <c r="J99" s="38"/>
      <c r="K99" s="38"/>
      <c r="L99" s="30"/>
      <c r="M99" s="16"/>
      <c r="N99" s="16"/>
      <c r="O99" s="26"/>
      <c r="P99" s="26"/>
      <c r="Q99" s="34"/>
    </row>
    <row r="100" spans="2:17" ht="15" customHeight="1" thickBot="1">
      <c r="B100" s="38" t="s">
        <v>14</v>
      </c>
      <c r="C100" s="38"/>
      <c r="D100" s="38"/>
      <c r="E100" s="38"/>
      <c r="F100" s="38"/>
      <c r="G100" s="26"/>
      <c r="H100" s="137"/>
      <c r="I100" s="16"/>
      <c r="J100" s="38"/>
      <c r="K100" s="38"/>
      <c r="L100" s="30"/>
      <c r="M100" s="16"/>
      <c r="N100" s="16"/>
      <c r="O100" s="26"/>
      <c r="P100" s="26"/>
      <c r="Q100" s="34"/>
    </row>
    <row r="101" spans="2:17" ht="30" customHeight="1" thickBot="1">
      <c r="B101" s="38"/>
      <c r="C101" s="133" t="s">
        <v>122</v>
      </c>
      <c r="D101" s="38"/>
      <c r="E101" s="38"/>
      <c r="F101" s="38"/>
      <c r="G101" s="26"/>
      <c r="H101" s="336">
        <f>IF(Box_AT=0,0,H98*Box_AT)</f>
        <v>0</v>
      </c>
      <c r="I101" s="337"/>
      <c r="J101" s="38" t="s">
        <v>0</v>
      </c>
      <c r="K101" s="133" t="s">
        <v>70</v>
      </c>
      <c r="L101" s="30"/>
      <c r="M101" s="16"/>
      <c r="N101" s="16"/>
      <c r="O101" s="26"/>
      <c r="P101" s="26"/>
      <c r="Q101" s="34"/>
    </row>
    <row r="102" spans="2:17" ht="8.25" customHeight="1" thickBot="1">
      <c r="B102" s="38"/>
      <c r="C102" s="38"/>
      <c r="D102" s="38"/>
      <c r="E102" s="38"/>
      <c r="F102" s="38"/>
      <c r="G102" s="26"/>
      <c r="H102" s="31"/>
      <c r="I102" s="26"/>
      <c r="J102" s="26"/>
      <c r="K102" s="26"/>
      <c r="L102" s="30"/>
      <c r="M102" s="16"/>
      <c r="N102" s="16"/>
      <c r="O102" s="26"/>
      <c r="P102" s="26"/>
      <c r="Q102" s="34"/>
    </row>
    <row r="103" spans="2:17" s="56" customFormat="1" ht="30" customHeight="1" thickBot="1">
      <c r="B103" s="133" t="s">
        <v>200</v>
      </c>
      <c r="C103" s="133"/>
      <c r="D103" s="133"/>
      <c r="E103" s="133"/>
      <c r="F103" s="133"/>
      <c r="G103" s="51"/>
      <c r="H103" s="54"/>
      <c r="I103" s="51"/>
      <c r="J103" s="51"/>
      <c r="K103" s="51"/>
      <c r="L103" s="185"/>
      <c r="M103" s="281">
        <f>H85*H87*H101</f>
        <v>0</v>
      </c>
      <c r="N103" s="266"/>
      <c r="O103" s="133" t="s">
        <v>0</v>
      </c>
      <c r="P103" s="134" t="s">
        <v>69</v>
      </c>
      <c r="Q103" s="55"/>
    </row>
    <row r="104" spans="2:17" ht="15">
      <c r="B104" s="38" t="s">
        <v>146</v>
      </c>
      <c r="C104" s="38"/>
      <c r="D104" s="38"/>
      <c r="E104" s="38"/>
      <c r="F104" s="38"/>
      <c r="G104" s="26"/>
      <c r="H104" s="16"/>
      <c r="I104" s="26"/>
      <c r="J104" s="26"/>
      <c r="K104" s="26"/>
      <c r="L104" s="31"/>
      <c r="M104" s="26"/>
      <c r="N104" s="26"/>
      <c r="O104" s="26"/>
      <c r="P104" s="26"/>
      <c r="Q104" s="34"/>
    </row>
    <row r="105" spans="2:13" ht="10.5" customHeight="1">
      <c r="B105" s="8"/>
      <c r="C105" s="8"/>
      <c r="D105" s="8"/>
      <c r="E105" s="10"/>
      <c r="F105" s="8"/>
      <c r="G105" s="8"/>
      <c r="H105" s="8"/>
      <c r="I105" s="8"/>
      <c r="J105" s="8"/>
      <c r="K105" s="8"/>
      <c r="L105" s="9"/>
      <c r="M105" s="9"/>
    </row>
    <row r="106" spans="2:17" ht="12.75" customHeight="1">
      <c r="B106" s="167" t="s">
        <v>101</v>
      </c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</row>
    <row r="107" spans="2:17" ht="9.75" customHeight="1"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</row>
    <row r="108" spans="2:17" ht="14.25">
      <c r="B108" s="166" t="s">
        <v>27</v>
      </c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</row>
    <row r="109" spans="2:17" ht="15" customHeight="1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1"/>
      <c r="M109" s="139" t="s">
        <v>140</v>
      </c>
      <c r="N109" s="11"/>
      <c r="O109" s="60"/>
      <c r="P109" s="11"/>
      <c r="Q109" s="60"/>
    </row>
    <row r="110" spans="2:33" s="16" customFormat="1" ht="15.75">
      <c r="B110" s="50" t="s">
        <v>22</v>
      </c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</row>
    <row r="111" spans="3:33" s="16" customFormat="1" ht="8.25" customHeight="1" thickBot="1">
      <c r="C111" s="53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</row>
    <row r="112" spans="2:33" s="16" customFormat="1" ht="30" customHeight="1" thickBot="1">
      <c r="B112" s="106" t="s">
        <v>23</v>
      </c>
      <c r="C112" s="106"/>
      <c r="D112" s="106"/>
      <c r="F112" s="103"/>
      <c r="G112" s="103"/>
      <c r="H112" s="254"/>
      <c r="I112" s="58"/>
      <c r="J112" s="110" t="s">
        <v>75</v>
      </c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</row>
    <row r="113" spans="2:33" s="16" customFormat="1" ht="7.5" customHeight="1" thickBot="1">
      <c r="B113" s="106"/>
      <c r="C113" s="106"/>
      <c r="D113" s="106"/>
      <c r="F113" s="58"/>
      <c r="G113" s="59"/>
      <c r="I113" s="58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</row>
    <row r="114" spans="2:33" s="16" customFormat="1" ht="30" customHeight="1" thickBot="1">
      <c r="B114" s="138" t="s">
        <v>201</v>
      </c>
      <c r="C114" s="106"/>
      <c r="D114" s="106"/>
      <c r="M114" s="245"/>
      <c r="N114" s="114">
        <f>H112*0.04*Box_AT</f>
        <v>0</v>
      </c>
      <c r="O114" s="110" t="s">
        <v>0</v>
      </c>
      <c r="P114" s="110" t="s">
        <v>74</v>
      </c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</row>
    <row r="115" spans="2:33" s="16" customFormat="1" ht="12" customHeight="1">
      <c r="B115" s="106" t="s">
        <v>145</v>
      </c>
      <c r="C115" s="106"/>
      <c r="D115" s="106"/>
      <c r="J115" s="59"/>
      <c r="N115" s="49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</row>
    <row r="116" spans="2:13" ht="10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5"/>
      <c r="M116" s="5"/>
    </row>
    <row r="117" spans="2:17" ht="18">
      <c r="B117" s="170" t="s">
        <v>102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</row>
    <row r="118" spans="2:17" ht="6.75" customHeight="1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0"/>
      <c r="O118" s="11"/>
      <c r="P118" s="11"/>
      <c r="Q118" s="11"/>
    </row>
    <row r="119" spans="2:17" ht="14.25">
      <c r="B119" s="140" t="s">
        <v>28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0"/>
      <c r="O119" s="11"/>
      <c r="P119" s="11"/>
      <c r="Q119" s="11"/>
    </row>
    <row r="120" spans="2:17" ht="19.5"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139" t="s">
        <v>140</v>
      </c>
      <c r="N120" s="11"/>
      <c r="O120" s="11"/>
      <c r="P120" s="11"/>
      <c r="Q120" s="11"/>
    </row>
    <row r="121" spans="2:17" ht="9" customHeight="1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16"/>
      <c r="P121" s="16"/>
      <c r="Q121" s="16"/>
    </row>
    <row r="122" spans="2:17" ht="15.75">
      <c r="B122" s="36" t="s">
        <v>4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16"/>
      <c r="P122" s="16"/>
      <c r="Q122" s="16"/>
    </row>
    <row r="123" spans="2:17" ht="9" customHeight="1">
      <c r="B123" s="16"/>
      <c r="C123" s="22"/>
      <c r="D123" s="22"/>
      <c r="E123" s="22"/>
      <c r="F123" s="26"/>
      <c r="G123" s="26"/>
      <c r="H123" s="26"/>
      <c r="I123" s="26"/>
      <c r="J123" s="26"/>
      <c r="K123" s="26"/>
      <c r="L123" s="26"/>
      <c r="M123" s="26"/>
      <c r="N123" s="26"/>
      <c r="O123" s="16"/>
      <c r="P123" s="16"/>
      <c r="Q123" s="16"/>
    </row>
    <row r="124" spans="2:17" ht="9.75" customHeight="1" thickBot="1">
      <c r="B124" s="289" t="s">
        <v>87</v>
      </c>
      <c r="C124" s="280"/>
      <c r="D124" s="280"/>
      <c r="E124" s="280"/>
      <c r="F124" s="280"/>
      <c r="G124" s="280"/>
      <c r="H124" s="280"/>
      <c r="I124" s="31"/>
      <c r="J124" s="26"/>
      <c r="K124" s="26"/>
      <c r="L124" s="37"/>
      <c r="M124" s="26"/>
      <c r="N124" s="37"/>
      <c r="O124" s="16"/>
      <c r="P124" s="16"/>
      <c r="Q124" s="16"/>
    </row>
    <row r="125" spans="2:17" ht="28.5" customHeight="1" thickBot="1">
      <c r="B125" s="280"/>
      <c r="C125" s="280"/>
      <c r="D125" s="280"/>
      <c r="E125" s="280"/>
      <c r="F125" s="280"/>
      <c r="G125" s="280"/>
      <c r="H125" s="280"/>
      <c r="I125" s="16"/>
      <c r="J125" s="347"/>
      <c r="K125" s="348"/>
      <c r="L125" s="141" t="s">
        <v>1</v>
      </c>
      <c r="M125" s="279" t="s">
        <v>76</v>
      </c>
      <c r="N125" s="267"/>
      <c r="O125" s="16"/>
      <c r="P125" s="16"/>
      <c r="Q125" s="16"/>
    </row>
    <row r="126" spans="2:17" ht="9.75" customHeight="1">
      <c r="B126" s="168"/>
      <c r="C126" s="168"/>
      <c r="D126" s="168"/>
      <c r="E126" s="168"/>
      <c r="F126" s="168"/>
      <c r="G126" s="26"/>
      <c r="H126" s="16"/>
      <c r="I126" s="16"/>
      <c r="J126" s="16"/>
      <c r="K126" s="135"/>
      <c r="L126" s="38"/>
      <c r="M126" s="38"/>
      <c r="N126" s="37"/>
      <c r="O126" s="16"/>
      <c r="P126" s="16"/>
      <c r="Q126" s="16"/>
    </row>
    <row r="127" spans="2:17" ht="9.75" customHeight="1" thickBot="1">
      <c r="B127" s="38"/>
      <c r="C127" s="38"/>
      <c r="D127" s="38"/>
      <c r="E127" s="124"/>
      <c r="F127" s="38"/>
      <c r="G127" s="26"/>
      <c r="H127" s="16"/>
      <c r="I127" s="16"/>
      <c r="J127" s="16"/>
      <c r="K127" s="135"/>
      <c r="L127" s="38"/>
      <c r="M127" s="38"/>
      <c r="N127" s="26"/>
      <c r="O127" s="16"/>
      <c r="P127" s="16"/>
      <c r="Q127" s="16"/>
    </row>
    <row r="128" spans="2:17" ht="30" customHeight="1" thickBot="1">
      <c r="B128" s="128" t="s">
        <v>88</v>
      </c>
      <c r="C128" s="128"/>
      <c r="D128" s="128"/>
      <c r="E128" s="128"/>
      <c r="F128" s="38"/>
      <c r="G128" s="26"/>
      <c r="H128" s="16"/>
      <c r="I128" s="16"/>
      <c r="J128" s="285">
        <f>J125*200</f>
        <v>0</v>
      </c>
      <c r="K128" s="262"/>
      <c r="L128" s="141" t="s">
        <v>10</v>
      </c>
      <c r="M128" s="279" t="s">
        <v>77</v>
      </c>
      <c r="N128" s="280"/>
      <c r="O128" s="16"/>
      <c r="P128" s="16"/>
      <c r="Q128" s="16"/>
    </row>
    <row r="129" spans="2:17" ht="9.75" customHeight="1" thickBot="1">
      <c r="B129" s="66"/>
      <c r="C129" s="66"/>
      <c r="D129" s="66"/>
      <c r="E129" s="67"/>
      <c r="F129" s="66"/>
      <c r="G129" s="66"/>
      <c r="H129" s="68"/>
      <c r="I129" s="68"/>
      <c r="J129" s="68"/>
      <c r="K129" s="144"/>
      <c r="L129" s="142"/>
      <c r="M129" s="143"/>
      <c r="N129" s="66"/>
      <c r="O129" s="68"/>
      <c r="P129" s="68"/>
      <c r="Q129" s="68"/>
    </row>
    <row r="130" spans="2:17" ht="9" customHeight="1">
      <c r="B130" s="26"/>
      <c r="C130" s="26"/>
      <c r="D130" s="26"/>
      <c r="E130" s="26"/>
      <c r="F130" s="26"/>
      <c r="G130" s="26"/>
      <c r="H130" s="16"/>
      <c r="I130" s="16"/>
      <c r="J130" s="16"/>
      <c r="K130" s="135"/>
      <c r="L130" s="38"/>
      <c r="M130" s="124"/>
      <c r="N130" s="26"/>
      <c r="O130" s="16"/>
      <c r="P130" s="16"/>
      <c r="Q130" s="16"/>
    </row>
    <row r="131" spans="2:17" ht="18">
      <c r="B131" s="36" t="s">
        <v>5</v>
      </c>
      <c r="C131" s="26"/>
      <c r="D131" s="26"/>
      <c r="E131" s="26"/>
      <c r="F131" s="26"/>
      <c r="G131" s="26"/>
      <c r="H131" s="16"/>
      <c r="I131" s="16"/>
      <c r="J131" s="16"/>
      <c r="K131" s="135"/>
      <c r="L131" s="38"/>
      <c r="M131" s="38"/>
      <c r="N131" s="26"/>
      <c r="O131" s="16"/>
      <c r="P131" s="16"/>
      <c r="Q131" s="16"/>
    </row>
    <row r="132" spans="2:17" ht="7.5" customHeight="1">
      <c r="B132" s="38"/>
      <c r="C132" s="26"/>
      <c r="D132" s="26"/>
      <c r="E132" s="26"/>
      <c r="F132" s="26"/>
      <c r="G132" s="26"/>
      <c r="H132" s="16"/>
      <c r="I132" s="16"/>
      <c r="J132" s="16"/>
      <c r="K132" s="135"/>
      <c r="L132" s="38"/>
      <c r="M132" s="38"/>
      <c r="N132" s="26"/>
      <c r="O132" s="16"/>
      <c r="P132" s="16"/>
      <c r="Q132" s="16"/>
    </row>
    <row r="133" spans="2:17" ht="9.75" customHeight="1" thickBot="1">
      <c r="B133" s="289" t="s">
        <v>89</v>
      </c>
      <c r="C133" s="280"/>
      <c r="D133" s="280"/>
      <c r="E133" s="280"/>
      <c r="F133" s="280"/>
      <c r="G133" s="280"/>
      <c r="H133" s="280"/>
      <c r="I133" s="16"/>
      <c r="J133" s="16"/>
      <c r="K133" s="145"/>
      <c r="L133" s="124"/>
      <c r="M133" s="38"/>
      <c r="N133" s="26"/>
      <c r="O133" s="16"/>
      <c r="P133" s="16"/>
      <c r="Q133" s="16"/>
    </row>
    <row r="134" spans="2:17" ht="30" customHeight="1" thickBot="1">
      <c r="B134" s="280"/>
      <c r="C134" s="280"/>
      <c r="D134" s="280"/>
      <c r="E134" s="280"/>
      <c r="F134" s="280"/>
      <c r="G134" s="280"/>
      <c r="H134" s="280"/>
      <c r="I134" s="16"/>
      <c r="J134" s="347"/>
      <c r="K134" s="348"/>
      <c r="L134" s="141" t="s">
        <v>1</v>
      </c>
      <c r="M134" s="279" t="s">
        <v>78</v>
      </c>
      <c r="N134" s="280"/>
      <c r="O134" s="16"/>
      <c r="P134" s="16"/>
      <c r="Q134" s="16"/>
    </row>
    <row r="135" spans="2:17" ht="7.5" customHeight="1">
      <c r="B135" s="168"/>
      <c r="C135" s="168"/>
      <c r="D135" s="168"/>
      <c r="E135" s="168"/>
      <c r="F135" s="168"/>
      <c r="G135" s="26"/>
      <c r="H135" s="16"/>
      <c r="I135" s="16"/>
      <c r="J135" s="16"/>
      <c r="K135" s="135"/>
      <c r="L135" s="38"/>
      <c r="M135" s="38"/>
      <c r="N135" s="26"/>
      <c r="O135" s="16"/>
      <c r="P135" s="16"/>
      <c r="Q135" s="16"/>
    </row>
    <row r="136" spans="2:17" ht="7.5" customHeight="1" thickBot="1">
      <c r="B136" s="38"/>
      <c r="C136" s="38"/>
      <c r="D136" s="38"/>
      <c r="E136" s="124"/>
      <c r="F136" s="38"/>
      <c r="G136" s="26"/>
      <c r="H136" s="16"/>
      <c r="I136" s="16"/>
      <c r="J136" s="16"/>
      <c r="K136" s="135"/>
      <c r="L136" s="38"/>
      <c r="M136" s="38"/>
      <c r="N136" s="26"/>
      <c r="O136" s="16"/>
      <c r="P136" s="16"/>
      <c r="Q136" s="16"/>
    </row>
    <row r="137" spans="2:17" ht="30" customHeight="1" thickBot="1">
      <c r="B137" s="38" t="s">
        <v>90</v>
      </c>
      <c r="C137" s="38"/>
      <c r="D137" s="38"/>
      <c r="E137" s="38"/>
      <c r="F137" s="38"/>
      <c r="G137" s="26"/>
      <c r="H137" s="16"/>
      <c r="I137" s="16"/>
      <c r="J137" s="285">
        <f>J134*100</f>
        <v>0</v>
      </c>
      <c r="K137" s="262"/>
      <c r="L137" s="141" t="s">
        <v>10</v>
      </c>
      <c r="M137" s="279" t="s">
        <v>79</v>
      </c>
      <c r="N137" s="280"/>
      <c r="O137" s="16"/>
      <c r="P137" s="16"/>
      <c r="Q137" s="16"/>
    </row>
    <row r="138" spans="2:17" ht="12" customHeight="1" thickBot="1">
      <c r="B138" s="66"/>
      <c r="C138" s="66"/>
      <c r="D138" s="66"/>
      <c r="E138" s="67"/>
      <c r="F138" s="66"/>
      <c r="G138" s="66"/>
      <c r="H138" s="68"/>
      <c r="I138" s="68"/>
      <c r="J138" s="68"/>
      <c r="K138" s="144"/>
      <c r="L138" s="142"/>
      <c r="M138" s="143"/>
      <c r="N138" s="66"/>
      <c r="O138" s="68"/>
      <c r="P138" s="68"/>
      <c r="Q138" s="68"/>
    </row>
    <row r="139" spans="2:17" ht="7.5" customHeight="1">
      <c r="B139" s="26"/>
      <c r="C139" s="26"/>
      <c r="D139" s="26"/>
      <c r="E139" s="26"/>
      <c r="F139" s="26"/>
      <c r="G139" s="26"/>
      <c r="H139" s="16"/>
      <c r="I139" s="16"/>
      <c r="J139" s="16"/>
      <c r="K139" s="135"/>
      <c r="L139" s="38"/>
      <c r="M139" s="38"/>
      <c r="N139" s="26"/>
      <c r="O139" s="16"/>
      <c r="P139" s="16"/>
      <c r="Q139" s="16"/>
    </row>
    <row r="140" spans="2:17" ht="18">
      <c r="B140" s="36" t="s">
        <v>6</v>
      </c>
      <c r="C140" s="26"/>
      <c r="D140" s="26"/>
      <c r="E140" s="26"/>
      <c r="F140" s="26"/>
      <c r="G140" s="26"/>
      <c r="H140" s="16"/>
      <c r="I140" s="16"/>
      <c r="J140" s="16"/>
      <c r="K140" s="135"/>
      <c r="L140" s="38"/>
      <c r="M140" s="38"/>
      <c r="N140" s="26"/>
      <c r="O140" s="16"/>
      <c r="P140" s="16"/>
      <c r="Q140" s="16"/>
    </row>
    <row r="141" spans="2:17" ht="8.25" customHeight="1">
      <c r="B141" s="26"/>
      <c r="C141" s="26"/>
      <c r="D141" s="26"/>
      <c r="E141" s="26"/>
      <c r="F141" s="26"/>
      <c r="G141" s="26"/>
      <c r="H141" s="16"/>
      <c r="I141" s="16"/>
      <c r="J141" s="16"/>
      <c r="K141" s="135"/>
      <c r="L141" s="38"/>
      <c r="M141" s="38"/>
      <c r="N141" s="26"/>
      <c r="O141" s="16"/>
      <c r="P141" s="16"/>
      <c r="Q141" s="16"/>
    </row>
    <row r="142" spans="2:17" ht="8.25" customHeight="1" thickBot="1">
      <c r="B142" s="289" t="s">
        <v>91</v>
      </c>
      <c r="C142" s="289"/>
      <c r="D142" s="289"/>
      <c r="E142" s="280"/>
      <c r="F142" s="280"/>
      <c r="G142" s="280"/>
      <c r="H142" s="280"/>
      <c r="I142" s="16"/>
      <c r="J142" s="16"/>
      <c r="K142" s="135"/>
      <c r="L142" s="38"/>
      <c r="M142" s="38"/>
      <c r="N142" s="26"/>
      <c r="O142" s="16"/>
      <c r="P142" s="16"/>
      <c r="Q142" s="16"/>
    </row>
    <row r="143" spans="2:17" ht="30" customHeight="1" thickBot="1">
      <c r="B143" s="289"/>
      <c r="C143" s="289"/>
      <c r="D143" s="289"/>
      <c r="E143" s="280"/>
      <c r="F143" s="280"/>
      <c r="G143" s="280"/>
      <c r="H143" s="280"/>
      <c r="I143" s="16"/>
      <c r="J143" s="347"/>
      <c r="K143" s="348"/>
      <c r="L143" s="141" t="s">
        <v>10</v>
      </c>
      <c r="M143" s="279" t="s">
        <v>80</v>
      </c>
      <c r="N143" s="280"/>
      <c r="O143" s="16"/>
      <c r="P143" s="16"/>
      <c r="Q143" s="16"/>
    </row>
    <row r="144" spans="2:17" ht="9.75" customHeight="1">
      <c r="B144" s="168"/>
      <c r="C144" s="168"/>
      <c r="D144" s="168"/>
      <c r="E144" s="168"/>
      <c r="F144" s="168"/>
      <c r="G144" s="26"/>
      <c r="H144" s="16"/>
      <c r="I144" s="16"/>
      <c r="J144" s="16"/>
      <c r="K144" s="135"/>
      <c r="L144" s="38"/>
      <c r="M144" s="38"/>
      <c r="N144" s="26"/>
      <c r="O144" s="16"/>
      <c r="P144" s="16"/>
      <c r="Q144" s="16"/>
    </row>
    <row r="145" spans="2:17" ht="9.75" customHeight="1" thickBot="1">
      <c r="B145" s="38"/>
      <c r="C145" s="38"/>
      <c r="D145" s="38"/>
      <c r="E145" s="38"/>
      <c r="F145" s="38"/>
      <c r="G145" s="35"/>
      <c r="H145" s="16"/>
      <c r="I145" s="16"/>
      <c r="J145" s="16"/>
      <c r="K145" s="135"/>
      <c r="L145" s="38"/>
      <c r="M145" s="38"/>
      <c r="N145" s="26"/>
      <c r="O145" s="16"/>
      <c r="P145" s="16"/>
      <c r="Q145" s="16"/>
    </row>
    <row r="146" spans="2:17" ht="30" customHeight="1" thickBot="1">
      <c r="B146" s="38" t="s">
        <v>92</v>
      </c>
      <c r="C146" s="38"/>
      <c r="D146" s="38"/>
      <c r="E146" s="38"/>
      <c r="F146" s="38"/>
      <c r="G146" s="26"/>
      <c r="H146" s="16"/>
      <c r="I146" s="16"/>
      <c r="J146" s="285">
        <f>J143*0.5</f>
        <v>0</v>
      </c>
      <c r="K146" s="262"/>
      <c r="L146" s="141" t="s">
        <v>10</v>
      </c>
      <c r="M146" s="279" t="s">
        <v>81</v>
      </c>
      <c r="N146" s="280"/>
      <c r="O146" s="16"/>
      <c r="P146" s="16"/>
      <c r="Q146" s="16"/>
    </row>
    <row r="147" spans="2:17" ht="8.25" customHeight="1" thickBot="1">
      <c r="B147" s="66"/>
      <c r="C147" s="66"/>
      <c r="D147" s="66"/>
      <c r="E147" s="66"/>
      <c r="F147" s="66"/>
      <c r="G147" s="66"/>
      <c r="H147" s="68"/>
      <c r="I147" s="68"/>
      <c r="J147" s="68"/>
      <c r="K147" s="144"/>
      <c r="L147" s="142"/>
      <c r="M147" s="142"/>
      <c r="N147" s="66"/>
      <c r="O147" s="68"/>
      <c r="P147" s="68"/>
      <c r="Q147" s="68"/>
    </row>
    <row r="148" spans="2:17" ht="9" customHeight="1">
      <c r="B148" s="26"/>
      <c r="C148" s="26"/>
      <c r="D148" s="26"/>
      <c r="E148" s="26"/>
      <c r="F148" s="26"/>
      <c r="G148" s="26"/>
      <c r="H148" s="16"/>
      <c r="I148" s="16"/>
      <c r="J148" s="16"/>
      <c r="K148" s="135"/>
      <c r="L148" s="38"/>
      <c r="M148" s="38"/>
      <c r="N148" s="26"/>
      <c r="O148" s="16"/>
      <c r="P148" s="16"/>
      <c r="Q148" s="16"/>
    </row>
    <row r="149" spans="2:17" ht="18">
      <c r="B149" s="36" t="s">
        <v>147</v>
      </c>
      <c r="C149" s="26"/>
      <c r="D149" s="26"/>
      <c r="E149" s="26"/>
      <c r="F149" s="26"/>
      <c r="G149" s="26"/>
      <c r="H149" s="16"/>
      <c r="I149" s="16"/>
      <c r="J149" s="16"/>
      <c r="K149" s="135"/>
      <c r="L149" s="38"/>
      <c r="M149" s="38"/>
      <c r="N149" s="26"/>
      <c r="O149" s="16"/>
      <c r="P149" s="16"/>
      <c r="Q149" s="16"/>
    </row>
    <row r="150" spans="2:17" ht="6.75" customHeight="1" thickBot="1">
      <c r="B150" s="26"/>
      <c r="C150" s="26"/>
      <c r="D150" s="26"/>
      <c r="E150" s="26"/>
      <c r="F150" s="26"/>
      <c r="G150" s="26"/>
      <c r="H150" s="16"/>
      <c r="I150" s="16"/>
      <c r="J150" s="16"/>
      <c r="K150" s="135"/>
      <c r="L150" s="38"/>
      <c r="M150" s="38"/>
      <c r="N150" s="26"/>
      <c r="O150" s="16"/>
      <c r="P150" s="16"/>
      <c r="Q150" s="16"/>
    </row>
    <row r="151" spans="2:17" ht="30" customHeight="1" thickBot="1">
      <c r="B151" s="38" t="s">
        <v>93</v>
      </c>
      <c r="C151" s="38"/>
      <c r="D151" s="38"/>
      <c r="E151" s="38"/>
      <c r="F151" s="38"/>
      <c r="G151" s="26"/>
      <c r="H151" s="16"/>
      <c r="I151" s="16"/>
      <c r="J151" s="285">
        <f>J128+J137+J146</f>
        <v>0</v>
      </c>
      <c r="K151" s="349"/>
      <c r="L151" s="141" t="s">
        <v>10</v>
      </c>
      <c r="M151" s="279" t="s">
        <v>82</v>
      </c>
      <c r="N151" s="280"/>
      <c r="O151" s="16"/>
      <c r="P151" s="16"/>
      <c r="Q151" s="16"/>
    </row>
    <row r="152" spans="2:17" ht="9.75" customHeight="1" thickBot="1">
      <c r="B152" s="38"/>
      <c r="C152" s="38"/>
      <c r="D152" s="38"/>
      <c r="E152" s="38"/>
      <c r="F152" s="38"/>
      <c r="G152" s="26"/>
      <c r="H152" s="16"/>
      <c r="I152" s="16"/>
      <c r="J152" s="16"/>
      <c r="K152" s="135"/>
      <c r="L152" s="124"/>
      <c r="M152" s="124"/>
      <c r="N152" s="26"/>
      <c r="O152" s="16"/>
      <c r="P152" s="16"/>
      <c r="Q152" s="16"/>
    </row>
    <row r="153" spans="2:17" ht="30" customHeight="1" thickBot="1">
      <c r="B153" s="38" t="s">
        <v>94</v>
      </c>
      <c r="C153" s="38"/>
      <c r="D153" s="38"/>
      <c r="E153" s="38"/>
      <c r="F153" s="38"/>
      <c r="G153" s="26"/>
      <c r="H153" s="16"/>
      <c r="I153" s="16"/>
      <c r="J153" s="284">
        <f>J151/43560</f>
        <v>0</v>
      </c>
      <c r="K153" s="316"/>
      <c r="L153" s="124" t="s">
        <v>0</v>
      </c>
      <c r="M153" s="279" t="s">
        <v>83</v>
      </c>
      <c r="N153" s="280"/>
      <c r="O153" s="16"/>
      <c r="P153" s="16"/>
      <c r="Q153" s="16"/>
    </row>
    <row r="154" spans="2:17" ht="20.25" customHeight="1">
      <c r="B154" s="38" t="s">
        <v>144</v>
      </c>
      <c r="C154" s="38"/>
      <c r="D154" s="38"/>
      <c r="E154" s="38"/>
      <c r="F154" s="38"/>
      <c r="G154" s="26"/>
      <c r="H154" s="26"/>
      <c r="I154" s="26"/>
      <c r="J154" s="26"/>
      <c r="K154" s="26"/>
      <c r="L154" s="26"/>
      <c r="M154" s="26"/>
      <c r="N154" s="26"/>
      <c r="O154" s="16"/>
      <c r="P154" s="16"/>
      <c r="Q154" s="16"/>
    </row>
    <row r="155" spans="2:14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7" ht="27.75" customHeight="1">
      <c r="B156" s="63" t="s">
        <v>103</v>
      </c>
      <c r="C156" s="64"/>
      <c r="D156" s="11"/>
      <c r="E156" s="11"/>
      <c r="F156" s="65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2:17" ht="19.5" customHeight="1">
      <c r="B157" s="140" t="s">
        <v>29</v>
      </c>
      <c r="C157" s="64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2:17" ht="9" customHeight="1">
      <c r="B158" s="26"/>
      <c r="C158" s="57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2:17" ht="15">
      <c r="B159" s="106" t="s">
        <v>19</v>
      </c>
      <c r="C159" s="106"/>
      <c r="D159" s="16"/>
      <c r="E159" s="106"/>
      <c r="F159" s="106"/>
      <c r="G159" s="23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2:17" ht="15">
      <c r="B160" s="106"/>
      <c r="C160" s="146" t="s">
        <v>17</v>
      </c>
      <c r="D160" s="16"/>
      <c r="E160" s="108" t="s">
        <v>197</v>
      </c>
      <c r="F160" s="106"/>
      <c r="G160" s="16"/>
      <c r="H160" s="49"/>
      <c r="I160" s="49"/>
      <c r="J160" s="16"/>
      <c r="K160" s="16"/>
      <c r="L160" s="16"/>
      <c r="M160" s="16"/>
      <c r="N160" s="16"/>
      <c r="O160" s="16"/>
      <c r="P160" s="16"/>
      <c r="Q160" s="16"/>
    </row>
    <row r="161" spans="2:17" ht="15">
      <c r="B161" s="106"/>
      <c r="C161" s="235" t="s">
        <v>18</v>
      </c>
      <c r="D161" s="236"/>
      <c r="E161" s="237">
        <v>0.4</v>
      </c>
      <c r="F161" s="106"/>
      <c r="G161" s="16"/>
      <c r="H161" s="49"/>
      <c r="I161" s="49"/>
      <c r="J161" s="16"/>
      <c r="K161" s="16"/>
      <c r="L161" s="16"/>
      <c r="M161" s="16"/>
      <c r="N161" s="16"/>
      <c r="O161" s="16"/>
      <c r="P161" s="16"/>
      <c r="Q161" s="16"/>
    </row>
    <row r="162" spans="2:17" ht="15">
      <c r="B162" s="106"/>
      <c r="C162" s="235" t="s">
        <v>134</v>
      </c>
      <c r="D162" s="238"/>
      <c r="E162" s="237">
        <v>0.6</v>
      </c>
      <c r="F162" s="106"/>
      <c r="G162" s="16"/>
      <c r="H162" s="49"/>
      <c r="I162" s="49"/>
      <c r="J162" s="16"/>
      <c r="K162" s="16"/>
      <c r="L162" s="16"/>
      <c r="M162" s="16"/>
      <c r="N162" s="16"/>
      <c r="O162" s="16"/>
      <c r="P162" s="16"/>
      <c r="Q162" s="16"/>
    </row>
    <row r="163" spans="2:17" ht="45.75" customHeight="1">
      <c r="B163" s="106"/>
      <c r="C163" s="259" t="s">
        <v>196</v>
      </c>
      <c r="D163" s="260"/>
      <c r="E163" s="241">
        <v>0.75</v>
      </c>
      <c r="F163" s="106"/>
      <c r="G163" s="16"/>
      <c r="H163" s="49"/>
      <c r="I163" s="49"/>
      <c r="J163" s="16"/>
      <c r="K163" s="16"/>
      <c r="L163" s="16"/>
      <c r="M163" s="16"/>
      <c r="N163" s="16"/>
      <c r="O163" s="16"/>
      <c r="P163" s="16"/>
      <c r="Q163" s="16"/>
    </row>
    <row r="164" spans="2:17" ht="15.75" thickBot="1">
      <c r="B164" s="106"/>
      <c r="C164" s="239" t="s">
        <v>30</v>
      </c>
      <c r="D164" s="240"/>
      <c r="E164" s="237">
        <v>1</v>
      </c>
      <c r="F164" s="106"/>
      <c r="G164" s="16"/>
      <c r="H164" s="49"/>
      <c r="I164" s="49"/>
      <c r="J164" s="16"/>
      <c r="K164" s="16"/>
      <c r="L164" s="16"/>
      <c r="M164" s="16"/>
      <c r="N164" s="16"/>
      <c r="O164" s="16"/>
      <c r="P164" s="16"/>
      <c r="Q164" s="16"/>
    </row>
    <row r="165" spans="2:17" ht="30" customHeight="1" thickBot="1">
      <c r="B165" s="106"/>
      <c r="C165" s="106"/>
      <c r="D165" s="106"/>
      <c r="E165" s="106"/>
      <c r="F165" s="148"/>
      <c r="G165" s="343"/>
      <c r="H165" s="339"/>
      <c r="I165" s="58"/>
      <c r="J165" s="110" t="s">
        <v>84</v>
      </c>
      <c r="K165" s="16"/>
      <c r="L165" s="232"/>
      <c r="M165" s="16"/>
      <c r="N165" s="16"/>
      <c r="O165" s="16"/>
      <c r="P165" s="16"/>
      <c r="Q165" s="16"/>
    </row>
    <row r="166" spans="2:17" ht="18.75" thickBot="1">
      <c r="B166" s="106"/>
      <c r="C166" s="106"/>
      <c r="D166" s="106"/>
      <c r="E166" s="106"/>
      <c r="F166" s="106"/>
      <c r="G166" s="198"/>
      <c r="H166" s="198"/>
      <c r="I166" s="16"/>
      <c r="J166" s="110"/>
      <c r="K166" s="16"/>
      <c r="L166" s="16"/>
      <c r="M166" s="16"/>
      <c r="N166" s="16"/>
      <c r="O166" s="16"/>
      <c r="P166" s="16"/>
      <c r="Q166" s="16"/>
    </row>
    <row r="167" spans="2:17" ht="30" customHeight="1" thickBot="1">
      <c r="B167" s="138" t="s">
        <v>20</v>
      </c>
      <c r="C167" s="106"/>
      <c r="D167" s="106"/>
      <c r="E167" s="106"/>
      <c r="F167" s="106"/>
      <c r="G167" s="338"/>
      <c r="H167" s="339"/>
      <c r="I167" s="58"/>
      <c r="J167" s="110" t="s">
        <v>85</v>
      </c>
      <c r="K167" s="16"/>
      <c r="L167" s="16"/>
      <c r="M167" s="16"/>
      <c r="N167" s="16"/>
      <c r="O167" s="16"/>
      <c r="P167" s="16"/>
      <c r="Q167" s="16"/>
    </row>
    <row r="168" spans="2:17" ht="18">
      <c r="B168" s="106"/>
      <c r="C168" s="106"/>
      <c r="D168" s="106"/>
      <c r="E168" s="106"/>
      <c r="F168" s="106"/>
      <c r="G168" s="16"/>
      <c r="H168" s="136"/>
      <c r="I168" s="16"/>
      <c r="J168" s="110"/>
      <c r="K168" s="16"/>
      <c r="L168" s="16"/>
      <c r="M168" s="16"/>
      <c r="N168" s="16"/>
      <c r="O168" s="16"/>
      <c r="P168" s="16"/>
      <c r="Q168" s="16"/>
    </row>
    <row r="169" spans="2:17" ht="15.75" thickBot="1">
      <c r="B169" s="106"/>
      <c r="C169" s="106"/>
      <c r="D169" s="106"/>
      <c r="E169" s="106"/>
      <c r="F169" s="106"/>
      <c r="G169" s="16"/>
      <c r="H169" s="16"/>
      <c r="I169" s="16"/>
      <c r="J169" s="110"/>
      <c r="K169" s="16"/>
      <c r="L169" s="16"/>
      <c r="M169" s="16"/>
      <c r="N169" s="16"/>
      <c r="O169" s="16"/>
      <c r="P169" s="16"/>
      <c r="Q169" s="16"/>
    </row>
    <row r="170" spans="2:17" ht="19.5">
      <c r="B170" s="106" t="s">
        <v>199</v>
      </c>
      <c r="C170" s="106"/>
      <c r="D170" s="50"/>
      <c r="E170" s="106"/>
      <c r="F170" s="106"/>
      <c r="G170" s="16"/>
      <c r="H170" s="16"/>
      <c r="I170" s="16"/>
      <c r="J170" s="149"/>
      <c r="K170" s="16"/>
      <c r="L170" s="16"/>
      <c r="M170" s="245"/>
      <c r="N170" s="275">
        <f>G165*G167*0.04*Box_AT</f>
        <v>0</v>
      </c>
      <c r="O170" s="276"/>
      <c r="P170" s="178" t="s">
        <v>0</v>
      </c>
      <c r="Q170" s="177" t="s">
        <v>86</v>
      </c>
    </row>
    <row r="171" spans="2:17" ht="15.75" customHeight="1" thickBot="1">
      <c r="B171" s="106" t="s">
        <v>143</v>
      </c>
      <c r="C171" s="106"/>
      <c r="D171" s="106"/>
      <c r="E171" s="106"/>
      <c r="F171" s="106"/>
      <c r="G171" s="16"/>
      <c r="H171" s="16"/>
      <c r="I171" s="16"/>
      <c r="J171" s="16"/>
      <c r="K171" s="16"/>
      <c r="L171" s="16"/>
      <c r="M171" s="16"/>
      <c r="N171" s="277"/>
      <c r="O171" s="278"/>
      <c r="P171" s="178"/>
      <c r="Q171" s="177"/>
    </row>
    <row r="172" spans="2:17" ht="15.75" customHeight="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2:17" ht="18">
      <c r="B173" s="165" t="s">
        <v>57</v>
      </c>
      <c r="C173" s="137"/>
      <c r="D173" s="137"/>
      <c r="E173" s="137"/>
      <c r="F173" s="161"/>
      <c r="G173" s="161"/>
      <c r="H173" s="136"/>
      <c r="I173" s="136"/>
      <c r="J173" s="136"/>
      <c r="K173" s="136"/>
      <c r="L173" s="136"/>
      <c r="M173" s="136"/>
      <c r="N173" s="136"/>
      <c r="O173" s="49"/>
      <c r="P173" s="49"/>
      <c r="Q173" s="49"/>
    </row>
    <row r="174" spans="2:17" ht="15.75" customHeight="1" thickBot="1">
      <c r="B174" s="162"/>
      <c r="C174" s="163"/>
      <c r="D174" s="163"/>
      <c r="E174" s="163"/>
      <c r="F174" s="164"/>
      <c r="G174" s="164"/>
      <c r="H174" s="162"/>
      <c r="I174" s="162"/>
      <c r="J174" s="162"/>
      <c r="K174" s="162"/>
      <c r="L174" s="162"/>
      <c r="M174" s="162"/>
      <c r="N174" s="162"/>
      <c r="O174" s="68"/>
      <c r="P174" s="68"/>
      <c r="Q174" s="68"/>
    </row>
    <row r="175" spans="2:17" ht="18">
      <c r="B175" s="86" t="s">
        <v>156</v>
      </c>
      <c r="C175" s="73"/>
      <c r="D175" s="73"/>
      <c r="E175" s="73"/>
      <c r="F175" s="73"/>
      <c r="G175" s="73"/>
      <c r="H175" s="74"/>
      <c r="I175" s="74"/>
      <c r="J175" s="74"/>
      <c r="K175" s="75"/>
      <c r="L175" s="75"/>
      <c r="M175" s="73"/>
      <c r="N175" s="73"/>
      <c r="O175" s="73"/>
      <c r="P175" s="73"/>
      <c r="Q175" s="73"/>
    </row>
    <row r="176" spans="2:17" ht="12.75">
      <c r="B176" s="16"/>
      <c r="C176" s="16"/>
      <c r="D176" s="16"/>
      <c r="E176" s="16"/>
      <c r="F176" s="16"/>
      <c r="G176" s="16"/>
      <c r="H176" s="26"/>
      <c r="I176" s="26"/>
      <c r="J176" s="26"/>
      <c r="K176" s="27"/>
      <c r="L176" s="27"/>
      <c r="M176" s="16"/>
      <c r="N176" s="16"/>
      <c r="O176" s="16"/>
      <c r="P176" s="16"/>
      <c r="Q176" s="16"/>
    </row>
    <row r="177" spans="2:17" ht="13.5" customHeight="1">
      <c r="B177" s="106" t="s">
        <v>47</v>
      </c>
      <c r="C177" s="106"/>
      <c r="D177" s="106"/>
      <c r="E177" s="147" t="s">
        <v>155</v>
      </c>
      <c r="F177" s="106"/>
      <c r="G177" s="106"/>
      <c r="H177" s="111"/>
      <c r="I177" s="26"/>
      <c r="J177" s="26"/>
      <c r="K177" s="27"/>
      <c r="L177" s="27"/>
      <c r="M177" s="16"/>
      <c r="N177" s="16"/>
      <c r="O177" s="16"/>
      <c r="P177" s="16"/>
      <c r="Q177" s="16"/>
    </row>
    <row r="178" spans="2:17" ht="15.75" customHeight="1" thickBot="1">
      <c r="B178" s="106"/>
      <c r="C178" s="106"/>
      <c r="D178" s="106"/>
      <c r="E178" s="147"/>
      <c r="F178" s="106"/>
      <c r="G178" s="106"/>
      <c r="H178" s="111"/>
      <c r="I178" s="26"/>
      <c r="J178" s="26"/>
      <c r="K178" s="27"/>
      <c r="L178" s="27"/>
      <c r="M178" s="16"/>
      <c r="N178" s="16"/>
      <c r="O178" s="16"/>
      <c r="P178" s="16"/>
      <c r="Q178" s="16"/>
    </row>
    <row r="179" spans="2:17" ht="30" customHeight="1" thickBot="1">
      <c r="B179" s="263" t="s">
        <v>104</v>
      </c>
      <c r="C179" s="280"/>
      <c r="D179" s="106"/>
      <c r="E179" s="340"/>
      <c r="F179" s="302"/>
      <c r="G179" s="106"/>
      <c r="H179" s="106" t="s">
        <v>15</v>
      </c>
      <c r="I179" s="216"/>
      <c r="J179" s="26"/>
      <c r="K179" s="27"/>
      <c r="L179" s="27"/>
      <c r="M179" s="16"/>
      <c r="N179" s="16"/>
      <c r="O179" s="16"/>
      <c r="P179" s="16"/>
      <c r="Q179" s="16"/>
    </row>
    <row r="180" spans="2:17" ht="15" customHeight="1" thickBot="1">
      <c r="B180" s="280"/>
      <c r="C180" s="280"/>
      <c r="D180" s="106"/>
      <c r="E180" s="150"/>
      <c r="F180" s="16"/>
      <c r="G180" s="106"/>
      <c r="H180" s="106"/>
      <c r="I180" s="26"/>
      <c r="J180" s="26"/>
      <c r="K180" s="27"/>
      <c r="L180" s="27"/>
      <c r="M180" s="16"/>
      <c r="N180" s="16"/>
      <c r="O180" s="16"/>
      <c r="P180" s="16"/>
      <c r="Q180" s="16"/>
    </row>
    <row r="181" spans="2:17" ht="30" customHeight="1" thickBot="1">
      <c r="B181" s="106" t="s">
        <v>148</v>
      </c>
      <c r="C181" s="106"/>
      <c r="D181" s="106"/>
      <c r="E181" s="341" t="str">
        <f>IF(D5=J191,L191,IF(D5=J192,L192,IF(D5=J193,L193,"select location in part 1")))</f>
        <v>select location in part 1</v>
      </c>
      <c r="F181" s="342"/>
      <c r="G181" s="106"/>
      <c r="H181" s="106" t="s">
        <v>59</v>
      </c>
      <c r="I181" s="216"/>
      <c r="J181" s="26"/>
      <c r="K181" s="27"/>
      <c r="L181" s="27"/>
      <c r="M181" s="16"/>
      <c r="N181" s="16"/>
      <c r="O181" s="16"/>
      <c r="P181" s="16"/>
      <c r="Q181" s="16"/>
    </row>
    <row r="182" spans="2:17" ht="15" customHeight="1" thickBot="1">
      <c r="B182" s="106"/>
      <c r="C182" s="106"/>
      <c r="D182" s="106"/>
      <c r="E182" s="150"/>
      <c r="F182" s="16"/>
      <c r="G182" s="106"/>
      <c r="H182" s="106"/>
      <c r="I182" s="26"/>
      <c r="J182" s="26"/>
      <c r="K182" s="27"/>
      <c r="L182" s="27"/>
      <c r="M182" s="16"/>
      <c r="N182" s="16"/>
      <c r="O182" s="16"/>
      <c r="P182" s="16"/>
      <c r="Q182" s="16"/>
    </row>
    <row r="183" spans="2:17" ht="30" customHeight="1" thickBot="1">
      <c r="B183" s="106" t="s">
        <v>157</v>
      </c>
      <c r="C183" s="106"/>
      <c r="D183" s="106"/>
      <c r="E183" s="261">
        <f>Box_AAT</f>
        <v>0</v>
      </c>
      <c r="F183" s="262"/>
      <c r="G183" s="106"/>
      <c r="H183" s="106" t="s">
        <v>120</v>
      </c>
      <c r="I183" s="26"/>
      <c r="J183" s="16"/>
      <c r="K183" s="27"/>
      <c r="L183" s="27"/>
      <c r="M183" s="16"/>
      <c r="N183" s="16"/>
      <c r="O183" s="16"/>
      <c r="P183" s="16"/>
      <c r="Q183" s="16"/>
    </row>
    <row r="184" spans="2:17" ht="15.75" customHeight="1">
      <c r="B184" s="106"/>
      <c r="C184" s="106"/>
      <c r="D184" s="106"/>
      <c r="E184" s="151"/>
      <c r="F184" s="16"/>
      <c r="G184" s="106"/>
      <c r="H184" s="106"/>
      <c r="I184" s="26"/>
      <c r="J184" s="26"/>
      <c r="K184" s="27"/>
      <c r="L184" s="27"/>
      <c r="M184" s="16"/>
      <c r="N184" s="16"/>
      <c r="O184" s="16"/>
      <c r="P184" s="16"/>
      <c r="Q184" s="16"/>
    </row>
    <row r="185" spans="2:17" ht="9.75" customHeight="1" thickBot="1">
      <c r="B185" s="106"/>
      <c r="C185" s="106"/>
      <c r="D185" s="106"/>
      <c r="E185" s="151"/>
      <c r="F185" s="16"/>
      <c r="G185" s="106"/>
      <c r="H185" s="106"/>
      <c r="I185" s="26"/>
      <c r="J185" s="26"/>
      <c r="K185" s="27"/>
      <c r="L185" s="27"/>
      <c r="M185" s="16"/>
      <c r="N185" s="16"/>
      <c r="O185" s="16"/>
      <c r="P185" s="16"/>
      <c r="Q185" s="16"/>
    </row>
    <row r="186" spans="2:17" ht="30" customHeight="1" thickBot="1">
      <c r="B186" s="106"/>
      <c r="C186" s="50" t="s">
        <v>123</v>
      </c>
      <c r="D186" s="106"/>
      <c r="E186" s="261">
        <f>IF(Box_A=0,0,E179*E181*E183)</f>
        <v>0</v>
      </c>
      <c r="F186" s="262"/>
      <c r="G186" s="106"/>
      <c r="H186" s="106" t="s">
        <v>48</v>
      </c>
      <c r="I186" s="26"/>
      <c r="J186" s="26"/>
      <c r="K186" s="27"/>
      <c r="L186" s="27"/>
      <c r="M186" s="16"/>
      <c r="N186" s="16"/>
      <c r="O186" s="16"/>
      <c r="P186" s="16"/>
      <c r="Q186" s="16"/>
    </row>
    <row r="187" spans="2:17" ht="9" customHeight="1">
      <c r="B187" s="16"/>
      <c r="C187" s="16"/>
      <c r="D187" s="16"/>
      <c r="E187" s="23"/>
      <c r="F187" s="16"/>
      <c r="G187" s="16"/>
      <c r="H187" s="26"/>
      <c r="I187" s="26"/>
      <c r="J187" s="26"/>
      <c r="K187" s="27"/>
      <c r="L187" s="27"/>
      <c r="M187" s="16"/>
      <c r="N187" s="16"/>
      <c r="O187" s="16"/>
      <c r="P187" s="16"/>
      <c r="Q187" s="16"/>
    </row>
    <row r="188" spans="3:13" ht="18">
      <c r="C188" s="324" t="s">
        <v>130</v>
      </c>
      <c r="D188" s="324"/>
      <c r="E188" s="169"/>
      <c r="J188" s="344" t="s">
        <v>162</v>
      </c>
      <c r="K188" s="344"/>
      <c r="L188" s="344"/>
      <c r="M188" s="344"/>
    </row>
    <row r="189" spans="4:5" ht="15.75" thickBot="1">
      <c r="D189" s="172"/>
      <c r="E189" s="172"/>
    </row>
    <row r="190" spans="3:14" ht="18.75" thickBot="1">
      <c r="C190" s="322" t="s">
        <v>164</v>
      </c>
      <c r="D190" s="323"/>
      <c r="E190" s="160"/>
      <c r="J190" s="345" t="s">
        <v>163</v>
      </c>
      <c r="K190" s="346"/>
      <c r="L190" s="346"/>
      <c r="M190" s="346"/>
      <c r="N190" s="223"/>
    </row>
    <row r="191" spans="3:14" ht="18">
      <c r="C191" s="200" t="s">
        <v>126</v>
      </c>
      <c r="D191" s="201">
        <v>0.5</v>
      </c>
      <c r="E191" s="160"/>
      <c r="J191" s="204" t="s">
        <v>50</v>
      </c>
      <c r="K191" s="220" t="s">
        <v>170</v>
      </c>
      <c r="L191" s="218">
        <v>0.2</v>
      </c>
      <c r="M191" s="220" t="s">
        <v>171</v>
      </c>
      <c r="N191" s="71"/>
    </row>
    <row r="192" spans="3:14" ht="18">
      <c r="C192" s="200" t="s">
        <v>127</v>
      </c>
      <c r="D192" s="201">
        <v>0.6</v>
      </c>
      <c r="E192" s="160"/>
      <c r="J192" s="204" t="s">
        <v>51</v>
      </c>
      <c r="K192" s="220" t="s">
        <v>170</v>
      </c>
      <c r="L192" s="218">
        <v>0.18</v>
      </c>
      <c r="M192" s="220" t="s">
        <v>171</v>
      </c>
      <c r="N192" s="71"/>
    </row>
    <row r="193" spans="3:14" ht="18.75" thickBot="1">
      <c r="C193" s="200" t="s">
        <v>129</v>
      </c>
      <c r="D193" s="201">
        <v>0.7</v>
      </c>
      <c r="E193" s="160"/>
      <c r="J193" s="205" t="s">
        <v>52</v>
      </c>
      <c r="K193" s="221" t="s">
        <v>170</v>
      </c>
      <c r="L193" s="219">
        <v>0.2</v>
      </c>
      <c r="M193" s="221" t="s">
        <v>171</v>
      </c>
      <c r="N193" s="222"/>
    </row>
    <row r="194" spans="3:13" ht="18.75" thickBot="1">
      <c r="C194" s="202" t="s">
        <v>128</v>
      </c>
      <c r="D194" s="203">
        <v>0.75</v>
      </c>
      <c r="E194" s="160"/>
      <c r="F194" s="171"/>
      <c r="G194" s="242"/>
      <c r="H194" s="1"/>
      <c r="I194" s="154"/>
      <c r="J194" s="87"/>
      <c r="K194" s="87"/>
      <c r="L194" s="87"/>
      <c r="M194" s="87"/>
    </row>
    <row r="195" spans="3:6" ht="18.75" thickBot="1">
      <c r="C195" s="217" t="s">
        <v>169</v>
      </c>
      <c r="D195" s="252">
        <v>0</v>
      </c>
      <c r="F195" s="224"/>
    </row>
    <row r="196" spans="5:12" s="47" customFormat="1" ht="12" customHeight="1">
      <c r="E196" s="76"/>
      <c r="H196" s="4"/>
      <c r="I196" s="4"/>
      <c r="J196" s="4"/>
      <c r="K196" s="77"/>
      <c r="L196" s="77"/>
    </row>
    <row r="197" spans="2:17" ht="18">
      <c r="B197" s="86" t="s">
        <v>105</v>
      </c>
      <c r="C197" s="73"/>
      <c r="D197" s="73"/>
      <c r="E197" s="78"/>
      <c r="F197" s="73"/>
      <c r="G197" s="73"/>
      <c r="H197" s="253" t="str">
        <f>IF(D5=J191,"use this method for Rosevill Volume Calculations","Skip this, use Form D-1g for volume calculations")</f>
        <v>Skip this, use Form D-1g for volume calculations</v>
      </c>
      <c r="I197" s="74"/>
      <c r="J197" s="74"/>
      <c r="K197" s="75"/>
      <c r="L197" s="75"/>
      <c r="M197" s="73"/>
      <c r="N197" s="73"/>
      <c r="O197" s="73"/>
      <c r="P197" s="73"/>
      <c r="Q197" s="73"/>
    </row>
    <row r="198" spans="2:17" ht="18" customHeight="1">
      <c r="B198" s="106" t="s">
        <v>159</v>
      </c>
      <c r="C198" s="110"/>
      <c r="D198" s="110"/>
      <c r="E198" s="130" t="s">
        <v>60</v>
      </c>
      <c r="F198" s="110"/>
      <c r="G198" s="16"/>
      <c r="H198" s="26"/>
      <c r="I198" s="26"/>
      <c r="J198" s="26"/>
      <c r="K198" s="27"/>
      <c r="L198" s="27"/>
      <c r="M198" s="16"/>
      <c r="N198" s="16"/>
      <c r="O198" s="16"/>
      <c r="P198" s="16"/>
      <c r="Q198" s="16"/>
    </row>
    <row r="199" spans="2:17" ht="15.75" thickBot="1">
      <c r="B199" s="110"/>
      <c r="C199" s="110"/>
      <c r="D199" s="110"/>
      <c r="E199" s="130"/>
      <c r="F199" s="110"/>
      <c r="G199" s="16"/>
      <c r="H199" s="26"/>
      <c r="I199" s="26"/>
      <c r="J199" s="26"/>
      <c r="K199" s="27"/>
      <c r="L199" s="27"/>
      <c r="M199" s="16"/>
      <c r="N199" s="16"/>
      <c r="O199" s="16"/>
      <c r="P199" s="16"/>
      <c r="Q199" s="16"/>
    </row>
    <row r="200" spans="2:17" ht="30" customHeight="1" thickBot="1" thickTop="1">
      <c r="B200" s="327" t="s">
        <v>149</v>
      </c>
      <c r="C200" s="319"/>
      <c r="D200" s="186"/>
      <c r="E200" s="330">
        <f>LOOKUP(Box_IA,Background!A41:A130,Background!B41:B130)</f>
        <v>0.04</v>
      </c>
      <c r="F200" s="315"/>
      <c r="G200" s="16"/>
      <c r="H200" s="110" t="s">
        <v>150</v>
      </c>
      <c r="I200" s="26"/>
      <c r="J200" s="255"/>
      <c r="K200" s="136" t="s">
        <v>195</v>
      </c>
      <c r="L200" s="136" t="s">
        <v>193</v>
      </c>
      <c r="M200" s="16"/>
      <c r="N200" s="16"/>
      <c r="O200" s="16"/>
      <c r="P200" s="16"/>
      <c r="Q200" s="16"/>
    </row>
    <row r="201" spans="2:17" ht="18.75" customHeight="1">
      <c r="B201" s="319"/>
      <c r="C201" s="319"/>
      <c r="D201" s="22"/>
      <c r="E201" s="150"/>
      <c r="F201" s="225"/>
      <c r="G201" s="16"/>
      <c r="H201" s="110"/>
      <c r="I201" s="26"/>
      <c r="J201" s="216"/>
      <c r="K201" s="27"/>
      <c r="L201" s="27"/>
      <c r="M201" s="16"/>
      <c r="N201" s="16"/>
      <c r="O201" s="16"/>
      <c r="P201" s="16"/>
      <c r="Q201" s="16"/>
    </row>
    <row r="202" spans="2:17" ht="11.25" customHeight="1" thickBot="1">
      <c r="B202" s="319"/>
      <c r="C202" s="319"/>
      <c r="D202" s="22"/>
      <c r="E202" s="150"/>
      <c r="F202" s="16"/>
      <c r="G202" s="16"/>
      <c r="H202" s="110"/>
      <c r="I202" s="26"/>
      <c r="J202" s="26"/>
      <c r="K202" s="27"/>
      <c r="L202" s="27"/>
      <c r="M202" s="16"/>
      <c r="N202" s="16"/>
      <c r="O202" s="16"/>
      <c r="P202" s="16"/>
      <c r="Q202" s="16"/>
    </row>
    <row r="203" spans="2:17" ht="30" customHeight="1" thickBot="1">
      <c r="B203" s="106" t="s">
        <v>151</v>
      </c>
      <c r="C203" s="110"/>
      <c r="D203" s="110"/>
      <c r="E203" s="328">
        <f>LOOKUP(E200,Background!E41:E141,Background!F41:F141)</f>
        <v>0.0256</v>
      </c>
      <c r="F203" s="329"/>
      <c r="G203" s="16"/>
      <c r="H203" s="110" t="s">
        <v>49</v>
      </c>
      <c r="I203" s="26"/>
      <c r="J203" s="225"/>
      <c r="K203" s="27"/>
      <c r="L203" s="27"/>
      <c r="M203" s="16"/>
      <c r="N203" s="16"/>
      <c r="O203" s="16"/>
      <c r="P203" s="16"/>
      <c r="Q203" s="16"/>
    </row>
    <row r="204" spans="2:17" ht="12.75" customHeight="1" thickBot="1">
      <c r="B204" s="106"/>
      <c r="C204" s="110"/>
      <c r="D204" s="110"/>
      <c r="E204" s="150"/>
      <c r="F204" s="16"/>
      <c r="G204" s="16"/>
      <c r="H204" s="110"/>
      <c r="I204" s="26"/>
      <c r="J204" s="26"/>
      <c r="K204" s="27"/>
      <c r="L204" s="27"/>
      <c r="M204" s="16"/>
      <c r="N204" s="16"/>
      <c r="O204" s="16"/>
      <c r="P204" s="16"/>
      <c r="Q204" s="16"/>
    </row>
    <row r="205" spans="2:17" ht="30" customHeight="1" thickBot="1">
      <c r="B205" s="106" t="s">
        <v>158</v>
      </c>
      <c r="C205" s="110"/>
      <c r="D205" s="110"/>
      <c r="E205" s="261">
        <f>Box_A</f>
        <v>0</v>
      </c>
      <c r="F205" s="262"/>
      <c r="G205" s="16"/>
      <c r="H205" s="110" t="s">
        <v>3</v>
      </c>
      <c r="I205" s="26"/>
      <c r="J205" s="225"/>
      <c r="K205" s="27"/>
      <c r="L205" s="27"/>
      <c r="M205" s="16"/>
      <c r="N205" s="16"/>
      <c r="O205" s="16"/>
      <c r="P205" s="16"/>
      <c r="Q205" s="16"/>
    </row>
    <row r="206" spans="2:17" ht="16.5" customHeight="1" thickBot="1">
      <c r="B206" s="106"/>
      <c r="C206" s="110"/>
      <c r="D206" s="110"/>
      <c r="E206" s="151"/>
      <c r="F206" s="16"/>
      <c r="G206" s="16"/>
      <c r="H206" s="110"/>
      <c r="I206" s="26"/>
      <c r="J206" s="26"/>
      <c r="K206" s="27"/>
      <c r="L206" s="27"/>
      <c r="M206" s="16"/>
      <c r="N206" s="16"/>
      <c r="O206" s="16"/>
      <c r="P206" s="16"/>
      <c r="Q206" s="16"/>
    </row>
    <row r="207" spans="2:17" ht="30" customHeight="1" thickBot="1">
      <c r="B207" s="131"/>
      <c r="C207" s="152" t="s">
        <v>124</v>
      </c>
      <c r="D207" s="110"/>
      <c r="E207" s="325">
        <f>E205*E203/12</f>
        <v>0</v>
      </c>
      <c r="F207" s="326"/>
      <c r="G207" s="16"/>
      <c r="H207" s="110" t="s">
        <v>160</v>
      </c>
      <c r="I207" s="26"/>
      <c r="J207" s="26"/>
      <c r="K207" s="27"/>
      <c r="L207" s="27"/>
      <c r="M207" s="16"/>
      <c r="N207" s="16"/>
      <c r="O207" s="16"/>
      <c r="P207" s="16"/>
      <c r="Q207" s="16"/>
    </row>
    <row r="208" spans="2:17" ht="12.75">
      <c r="B208" s="24"/>
      <c r="C208" s="16"/>
      <c r="D208" s="16"/>
      <c r="E208" s="79"/>
      <c r="F208" s="16"/>
      <c r="G208" s="16"/>
      <c r="H208" s="26"/>
      <c r="I208" s="26"/>
      <c r="J208" s="26"/>
      <c r="K208" s="27"/>
      <c r="L208" s="27"/>
      <c r="M208" s="16"/>
      <c r="N208" s="16"/>
      <c r="O208" s="16"/>
      <c r="P208" s="16"/>
      <c r="Q208" s="16"/>
    </row>
    <row r="209" spans="2:12" s="47" customFormat="1" ht="12.75">
      <c r="B209" s="80"/>
      <c r="E209" s="81"/>
      <c r="H209" s="4"/>
      <c r="I209" s="4"/>
      <c r="J209" s="4"/>
      <c r="K209" s="77"/>
      <c r="L209" s="77"/>
    </row>
    <row r="210" spans="2:17" ht="18">
      <c r="B210" s="86" t="s">
        <v>106</v>
      </c>
      <c r="C210" s="73"/>
      <c r="D210" s="73"/>
      <c r="E210" s="78"/>
      <c r="F210" s="73"/>
      <c r="G210" s="73"/>
      <c r="H210" s="74"/>
      <c r="I210" s="74"/>
      <c r="J210" s="74"/>
      <c r="K210" s="75"/>
      <c r="L210" s="75"/>
      <c r="M210" s="73"/>
      <c r="N210" s="73"/>
      <c r="O210" s="73"/>
      <c r="P210" s="73"/>
      <c r="Q210" s="73"/>
    </row>
    <row r="211" spans="2:17" ht="12.75">
      <c r="B211" s="16"/>
      <c r="C211" s="16"/>
      <c r="D211" s="16"/>
      <c r="E211" s="23"/>
      <c r="F211" s="16"/>
      <c r="G211" s="16"/>
      <c r="H211" s="26"/>
      <c r="I211" s="26"/>
      <c r="J211" s="26"/>
      <c r="K211" s="27"/>
      <c r="L211" s="27"/>
      <c r="M211" s="16"/>
      <c r="N211" s="16"/>
      <c r="O211" s="16"/>
      <c r="P211" s="16"/>
      <c r="Q211" s="16"/>
    </row>
    <row r="212" spans="2:17" ht="19.5" customHeight="1">
      <c r="B212" s="106" t="s">
        <v>161</v>
      </c>
      <c r="C212" s="106"/>
      <c r="D212" s="106"/>
      <c r="E212" s="147" t="s">
        <v>125</v>
      </c>
      <c r="F212" s="106"/>
      <c r="G212" s="106"/>
      <c r="H212" s="26"/>
      <c r="I212" s="26"/>
      <c r="J212" s="26"/>
      <c r="K212" s="27"/>
      <c r="L212" s="27"/>
      <c r="M212" s="16"/>
      <c r="N212" s="16"/>
      <c r="O212" s="16"/>
      <c r="P212" s="16"/>
      <c r="Q212" s="16"/>
    </row>
    <row r="213" spans="2:17" ht="11.25" customHeight="1" thickBot="1">
      <c r="B213" s="106"/>
      <c r="C213" s="106"/>
      <c r="D213" s="106"/>
      <c r="E213" s="147"/>
      <c r="F213" s="106"/>
      <c r="G213" s="106"/>
      <c r="H213" s="16"/>
      <c r="I213" s="26"/>
      <c r="J213" s="26"/>
      <c r="K213" s="27"/>
      <c r="L213" s="27"/>
      <c r="M213" s="16"/>
      <c r="N213" s="16"/>
      <c r="O213" s="16"/>
      <c r="P213" s="16"/>
      <c r="Q213" s="16"/>
    </row>
    <row r="214" spans="2:17" ht="30" customHeight="1" thickBot="1">
      <c r="B214" s="106" t="s">
        <v>158</v>
      </c>
      <c r="C214" s="106"/>
      <c r="D214" s="106"/>
      <c r="E214" s="261">
        <f>Box_A</f>
        <v>0</v>
      </c>
      <c r="F214" s="262"/>
      <c r="G214" s="106"/>
      <c r="H214" s="106" t="s">
        <v>3</v>
      </c>
      <c r="I214" s="26"/>
      <c r="J214" s="256"/>
      <c r="K214" s="136" t="s">
        <v>195</v>
      </c>
      <c r="L214" s="136" t="s">
        <v>193</v>
      </c>
      <c r="M214" s="16"/>
      <c r="N214" s="16"/>
      <c r="O214" s="16"/>
      <c r="P214" s="16"/>
      <c r="Q214" s="16"/>
    </row>
    <row r="215" spans="2:17" ht="12" customHeight="1" thickBot="1">
      <c r="B215" s="106"/>
      <c r="C215" s="106"/>
      <c r="D215" s="106"/>
      <c r="E215" s="156"/>
      <c r="F215" s="103"/>
      <c r="G215" s="106"/>
      <c r="H215" s="106"/>
      <c r="I215" s="26"/>
      <c r="J215" s="26"/>
      <c r="K215" s="27"/>
      <c r="L215" s="27"/>
      <c r="M215" s="16"/>
      <c r="N215" s="16"/>
      <c r="O215" s="16"/>
      <c r="P215" s="16"/>
      <c r="Q215" s="16"/>
    </row>
    <row r="216" spans="2:17" ht="30" customHeight="1" thickBot="1">
      <c r="B216" s="263" t="s">
        <v>113</v>
      </c>
      <c r="C216" s="280"/>
      <c r="D216" s="22"/>
      <c r="E216" s="261" t="e">
        <f>IF(drawdown_hrs=12,LOOKUP(Box_IA,Background!L12:L111,Background!N12:N111),IF(drawdown_hrs=24,LOOKUP(Box_IA,Background!L12:L111,Background!O12:O111),LOOKUP(Box_IA,Background!L12:L111,Background!P12:P111)))</f>
        <v>#N/A</v>
      </c>
      <c r="F216" s="262"/>
      <c r="G216" s="106"/>
      <c r="H216" s="106" t="s">
        <v>112</v>
      </c>
      <c r="I216" s="216"/>
      <c r="J216" s="26"/>
      <c r="K216" s="27"/>
      <c r="L216" s="27"/>
      <c r="M216" s="16"/>
      <c r="N216" s="16"/>
      <c r="O216" s="16"/>
      <c r="P216" s="16"/>
      <c r="Q216" s="16"/>
    </row>
    <row r="217" spans="2:17" ht="30" customHeight="1">
      <c r="B217" s="280"/>
      <c r="C217" s="280"/>
      <c r="D217" s="22"/>
      <c r="E217" s="156"/>
      <c r="F217" s="103"/>
      <c r="G217" s="106"/>
      <c r="H217" s="106"/>
      <c r="I217" s="26"/>
      <c r="J217" s="26"/>
      <c r="K217" s="27"/>
      <c r="L217" s="27"/>
      <c r="M217" s="16"/>
      <c r="N217" s="16"/>
      <c r="O217" s="16"/>
      <c r="P217" s="16"/>
      <c r="Q217" s="16"/>
    </row>
    <row r="218" spans="2:17" ht="18.75" customHeight="1" thickBot="1">
      <c r="B218" s="106"/>
      <c r="C218" s="106"/>
      <c r="D218" s="106"/>
      <c r="E218" s="151"/>
      <c r="F218" s="16"/>
      <c r="G218" s="106"/>
      <c r="H218" s="106"/>
      <c r="I218" s="26"/>
      <c r="J218" s="26"/>
      <c r="K218" s="233"/>
      <c r="L218" s="27"/>
      <c r="M218" s="16"/>
      <c r="N218" s="16"/>
      <c r="O218" s="16"/>
      <c r="P218" s="16"/>
      <c r="Q218" s="16"/>
    </row>
    <row r="219" spans="2:17" ht="30" customHeight="1" thickBot="1">
      <c r="B219" s="112"/>
      <c r="C219" s="153" t="s">
        <v>114</v>
      </c>
      <c r="D219" s="106"/>
      <c r="E219" s="261">
        <f>IF(Box_A=0,0,E214*E216/12)</f>
        <v>0</v>
      </c>
      <c r="F219" s="316"/>
      <c r="G219" s="106"/>
      <c r="H219" s="106" t="s">
        <v>160</v>
      </c>
      <c r="I219" s="26"/>
      <c r="J219" s="26"/>
      <c r="K219" s="27"/>
      <c r="L219" s="27"/>
      <c r="M219" s="16"/>
      <c r="N219" s="16"/>
      <c r="O219" s="16"/>
      <c r="P219" s="16"/>
      <c r="Q219" s="16"/>
    </row>
    <row r="220" spans="2:17" ht="12.75">
      <c r="B220" s="24"/>
      <c r="C220" s="16"/>
      <c r="D220" s="16"/>
      <c r="E220" s="79"/>
      <c r="F220" s="16"/>
      <c r="G220" s="16"/>
      <c r="H220" s="26"/>
      <c r="I220" s="26"/>
      <c r="J220" s="26"/>
      <c r="K220" s="27"/>
      <c r="L220" s="27"/>
      <c r="M220" s="16"/>
      <c r="N220" s="16"/>
      <c r="O220" s="16"/>
      <c r="P220" s="16"/>
      <c r="Q220" s="16"/>
    </row>
    <row r="221" spans="2:17" ht="12.75">
      <c r="B221" s="24"/>
      <c r="C221" s="16"/>
      <c r="D221" s="16"/>
      <c r="E221" s="79"/>
      <c r="F221" s="16"/>
      <c r="G221" s="16"/>
      <c r="H221" s="26"/>
      <c r="I221" s="26"/>
      <c r="J221" s="26"/>
      <c r="K221" s="27"/>
      <c r="L221" s="27"/>
      <c r="M221" s="16"/>
      <c r="N221" s="16"/>
      <c r="O221" s="16"/>
      <c r="P221" s="16"/>
      <c r="Q221" s="16"/>
    </row>
    <row r="222" spans="5:13" ht="15.75">
      <c r="E222" s="160"/>
      <c r="F222" s="335"/>
      <c r="G222" s="334"/>
      <c r="H222" s="1"/>
      <c r="I222" s="154"/>
      <c r="J222" s="87"/>
      <c r="K222" s="87"/>
      <c r="L222" s="87"/>
      <c r="M222" s="87"/>
    </row>
    <row r="223" spans="3:13" ht="15">
      <c r="C223" s="1"/>
      <c r="D223" s="321"/>
      <c r="E223" s="321"/>
      <c r="F223" s="335"/>
      <c r="G223" s="334"/>
      <c r="H223" s="1"/>
      <c r="I223" s="154"/>
      <c r="J223" s="87"/>
      <c r="K223" s="87"/>
      <c r="L223" s="87"/>
      <c r="M223" s="87"/>
    </row>
    <row r="224" spans="3:13" ht="15">
      <c r="C224" s="1"/>
      <c r="D224" s="331"/>
      <c r="E224" s="332"/>
      <c r="F224" s="333"/>
      <c r="G224" s="334"/>
      <c r="H224" s="1"/>
      <c r="I224" s="154"/>
      <c r="J224" s="87"/>
      <c r="K224" s="87"/>
      <c r="L224" s="87"/>
      <c r="M224" s="87"/>
    </row>
    <row r="225" spans="2:9" ht="12.75">
      <c r="B225" s="4"/>
      <c r="E225" s="85"/>
      <c r="F225" s="84"/>
      <c r="G225" s="83"/>
      <c r="H225" s="155"/>
      <c r="I225" s="1"/>
    </row>
    <row r="226" spans="2:12" ht="12.75">
      <c r="B226" s="4"/>
      <c r="C226" s="4"/>
      <c r="D226" s="4"/>
      <c r="I226" s="4"/>
      <c r="J226" s="4"/>
      <c r="K226" s="5"/>
      <c r="L226" s="5"/>
    </row>
    <row r="227" spans="2:12" ht="12.75">
      <c r="B227" s="4"/>
      <c r="C227" s="4"/>
      <c r="D227" s="4"/>
      <c r="I227" s="4"/>
      <c r="J227" s="4"/>
      <c r="K227" s="5"/>
      <c r="L227" s="5"/>
    </row>
    <row r="228" spans="2:13" ht="12.75">
      <c r="B228" s="4"/>
      <c r="C228" s="4"/>
      <c r="D228" s="4"/>
      <c r="I228" s="4"/>
      <c r="J228" s="4"/>
      <c r="K228" s="4"/>
      <c r="L228" s="4"/>
      <c r="M228" s="4"/>
    </row>
    <row r="229" spans="3:13" ht="12.75">
      <c r="C229" s="4"/>
      <c r="D229" s="4"/>
      <c r="I229" s="4"/>
      <c r="J229" s="4"/>
      <c r="K229" s="4"/>
      <c r="L229" s="4"/>
      <c r="M229" s="4"/>
    </row>
  </sheetData>
  <sheetProtection password="C928" sheet="1" objects="1" scenarios="1"/>
  <protectedRanges>
    <protectedRange sqref="J214 J200 D195 E179 G165 G167 J143 J134 J125 H112 H87 H85 D4 D5 F9 F11 F15" name="Range1"/>
  </protectedRanges>
  <mergeCells count="69">
    <mergeCell ref="J143:K143"/>
    <mergeCell ref="M146:N146"/>
    <mergeCell ref="M151:N151"/>
    <mergeCell ref="M153:N153"/>
    <mergeCell ref="M143:N143"/>
    <mergeCell ref="J128:K128"/>
    <mergeCell ref="J125:K125"/>
    <mergeCell ref="J134:K134"/>
    <mergeCell ref="J137:K137"/>
    <mergeCell ref="F222:G222"/>
    <mergeCell ref="E183:F183"/>
    <mergeCell ref="G165:H165"/>
    <mergeCell ref="J151:K151"/>
    <mergeCell ref="J153:K153"/>
    <mergeCell ref="J188:M188"/>
    <mergeCell ref="J190:M190"/>
    <mergeCell ref="D224:E224"/>
    <mergeCell ref="F224:G224"/>
    <mergeCell ref="F223:G223"/>
    <mergeCell ref="H101:I101"/>
    <mergeCell ref="B133:H134"/>
    <mergeCell ref="E205:F205"/>
    <mergeCell ref="G167:H167"/>
    <mergeCell ref="E179:F179"/>
    <mergeCell ref="E181:F181"/>
    <mergeCell ref="E219:F219"/>
    <mergeCell ref="D223:E223"/>
    <mergeCell ref="C190:D190"/>
    <mergeCell ref="C188:D188"/>
    <mergeCell ref="E207:F207"/>
    <mergeCell ref="E216:F216"/>
    <mergeCell ref="B216:C217"/>
    <mergeCell ref="E214:F214"/>
    <mergeCell ref="B200:C202"/>
    <mergeCell ref="E203:F203"/>
    <mergeCell ref="E200:F200"/>
    <mergeCell ref="L11:O13"/>
    <mergeCell ref="C25:D25"/>
    <mergeCell ref="H87:I87"/>
    <mergeCell ref="H98:I98"/>
    <mergeCell ref="H67:I67"/>
    <mergeCell ref="H85:I85"/>
    <mergeCell ref="L49:M51"/>
    <mergeCell ref="C1:O1"/>
    <mergeCell ref="F9:G9"/>
    <mergeCell ref="C49:C51"/>
    <mergeCell ref="F49:F51"/>
    <mergeCell ref="F19:G19"/>
    <mergeCell ref="F11:G11"/>
    <mergeCell ref="F13:G13"/>
    <mergeCell ref="F15:G15"/>
    <mergeCell ref="D5:F5"/>
    <mergeCell ref="F17:G17"/>
    <mergeCell ref="C163:D163"/>
    <mergeCell ref="E186:F186"/>
    <mergeCell ref="B179:C180"/>
    <mergeCell ref="D4:K4"/>
    <mergeCell ref="H69:I69"/>
    <mergeCell ref="H65:I65"/>
    <mergeCell ref="J146:K146"/>
    <mergeCell ref="J49:J51"/>
    <mergeCell ref="B124:H125"/>
    <mergeCell ref="B142:H143"/>
    <mergeCell ref="N170:O171"/>
    <mergeCell ref="M137:N137"/>
    <mergeCell ref="M103:N103"/>
    <mergeCell ref="M125:N125"/>
    <mergeCell ref="M128:N128"/>
    <mergeCell ref="M134:N134"/>
  </mergeCells>
  <dataValidations count="7">
    <dataValidation type="list" showInputMessage="1" showErrorMessage="1" prompt="Select C from table D-1b or type in space labeled &quot;user specified&quot;" sqref="E179">
      <formula1>$D$191:$D$195</formula1>
    </dataValidation>
    <dataValidation type="list" allowBlank="1" showInputMessage="1" showErrorMessage="1" sqref="J214">
      <formula1>drawdown_time</formula1>
    </dataValidation>
    <dataValidation type="list" allowBlank="1" showInputMessage="1" showErrorMessage="1" sqref="G165:H165">
      <formula1>$E$161:$E$164</formula1>
    </dataValidation>
    <dataValidation type="list" allowBlank="1" showInputMessage="1" showErrorMessage="1" sqref="H85:I85">
      <formula1>$E$79:$E$83</formula1>
    </dataValidation>
    <dataValidation type="list" allowBlank="1" showInputMessage="1" showErrorMessage="1" sqref="K5">
      <formula1>$J$191:$J$193</formula1>
    </dataValidation>
    <dataValidation type="list" allowBlank="1" showInputMessage="1" showErrorMessage="1" sqref="D5:F5">
      <formula1>cities</formula1>
    </dataValidation>
    <dataValidation type="list" allowBlank="1" showInputMessage="1" showErrorMessage="1" sqref="J200">
      <formula1>CASQA_drdn</formula1>
    </dataValidation>
  </dataValidations>
  <printOptions/>
  <pageMargins left="0.37" right="0.42" top="0.51" bottom="0.52" header="0.5" footer="0.5"/>
  <pageSetup fitToHeight="0" fitToWidth="1" horizontalDpi="200" verticalDpi="200" orientation="portrait" scale="55" r:id="rId2"/>
  <headerFooter alignWithMargins="0">
    <oddFooter>&amp;CCheck the website for the electronic version at www.sactostormwater.org click on "new development"</oddFooter>
  </headerFooter>
  <rowBreaks count="2" manualBreakCount="2">
    <brk id="71" min="1" max="16" man="1"/>
    <brk id="155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Works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olsonp</dc:creator>
  <cp:keywords/>
  <dc:description/>
  <cp:lastModifiedBy>christensens</cp:lastModifiedBy>
  <cp:lastPrinted>2007-05-18T16:19:05Z</cp:lastPrinted>
  <dcterms:created xsi:type="dcterms:W3CDTF">2005-10-06T16:04:14Z</dcterms:created>
  <dcterms:modified xsi:type="dcterms:W3CDTF">2007-05-18T20:01:39Z</dcterms:modified>
  <cp:category/>
  <cp:version/>
  <cp:contentType/>
  <cp:contentStatus/>
</cp:coreProperties>
</file>